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<sst xmlns="http://schemas.openxmlformats.org/spreadsheetml/2006/main" count="531" uniqueCount="260">
  <si>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</si>
  <si>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</si>
  <si>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</si>
  <si>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</si>
  <si>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</si>
  <si>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</si>
  <si>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</si>
  <si>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</si>
  <si>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</si>
  <si>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</si>
  <si>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</si>
  <si>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</si>
  <si>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</si>
  <si>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</si>
  <si>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</si>
  <si>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</si>
  <si>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</si>
  <si>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</si>
  <si>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</si>
  <si>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</si>
  <si>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</si>
  <si>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</si>
  <si>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</si>
  <si>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</si>
  <si>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</si>
  <si>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</si>
  <si>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</si>
  <si>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</si>
  <si>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</si>
  <si>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</si>
  <si>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</si>
  <si>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</si>
  <si>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</si>
  <si>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</si>
  <si>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</si>
  <si>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</si>
  <si>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</si>
  <si>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</si>
  <si>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</si>
  <si>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</si>
  <si>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</si>
  <si>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</si>
  <si>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</si>
  <si>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</si>
  <si>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</si>
  <si>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</si>
  <si>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</si>
  <si>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</si>
  <si>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</si>
  <si>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</si>
  <si>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</si>
  <si>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</si>
  <si>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</si>
  <si>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</si>
  <si>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</si>
  <si>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</si>
  <si>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</si>
  <si>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</si>
  <si>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</si>
  <si>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</si>
  <si>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</si>
  <si>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</si>
  <si>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</si>
  <si>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</si>
  <si>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</si>
  <si>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</si>
  <si>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</si>
  <si>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</si>
  <si>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</si>
  <si>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</si>
  <si>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</si>
  <si>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</si>
  <si>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</si>
  <si>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</si>
  <si>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</si>
  <si>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</si>
  <si>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</si>
  <si>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</si>
  <si>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</si>
  <si>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</si>
  <si>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</si>
  <si>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</si>
  <si>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</si>
  <si>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</si>
  <si>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</si>
  <si>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</si>
  <si>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</si>
  <si>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</si>
  <si>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</si>
  <si>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</si>
  <si>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</si>
  <si>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</si>
  <si>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</si>
  <si>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</si>
  <si>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</si>
  <si>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</si>
  <si>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</si>
  <si>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</si>
  <si>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</si>
  <si>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</si>
  <si>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</si>
  <si>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</si>
  <si>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</si>
  <si>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</si>
  <si>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</si>
  <si>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</si>
  <si>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</si>
  <si>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</si>
  <si>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</si>
  <si>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</si>
  <si>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</si>
  <si>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</si>
  <si>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</si>
  <si>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</si>
  <si>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</si>
  <si>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</si>
  <si>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</si>
  <si>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</si>
  <si>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</si>
  <si>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</si>
  <si>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</si>
  <si>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</si>
  <si>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</si>
  <si>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</si>
  <si>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</si>
  <si>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</si>
  <si>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</si>
  <si>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</si>
  <si>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</si>
  <si>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</si>
  <si>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</si>
  <si>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</si>
  <si>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</si>
  <si>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</si>
  <si>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</si>
  <si>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</si>
  <si>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</si>
  <si>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</si>
  <si>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</si>
  <si>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</si>
  <si>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</si>
  <si>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</si>
  <si>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</si>
  <si>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</si>
  <si>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</si>
  <si>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</si>
  <si>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</si>
  <si>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</si>
  <si>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</si>
  <si>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</si>
  <si>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</si>
  <si>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</si>
  <si>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</si>
  <si>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</si>
  <si>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</si>
  <si>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</si>
  <si>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</si>
  <si>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</si>
  <si>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</si>
  <si>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</si>
  <si>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</si>
  <si>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</si>
  <si>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</si>
  <si>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</si>
  <si>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</si>
  <si>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</si>
  <si>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</si>
  <si>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</si>
  <si>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</si>
  <si>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</si>
  <si>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</si>
  <si>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</si>
  <si>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</si>
  <si>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</si>
  <si>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</si>
  <si>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</si>
  <si>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</si>
  <si>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</si>
  <si>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</si>
  <si>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</si>
  <si>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</si>
  <si>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</si>
  <si>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</si>
  <si>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</si>
  <si>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</si>
  <si>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</si>
  <si>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</si>
  <si>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</si>
  <si>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</si>
  <si>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</si>
  <si>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</si>
  <si>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</si>
  <si>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</si>
  <si>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</si>
  <si>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</si>
  <si>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12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</si>
  <si>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</si>
  <si>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</si>
  <si>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</si>
  <si>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</si>
  <si>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</si>
  <si>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</si>
  <si>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</si>
  <si>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</si>
  <si>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</si>
  <si>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</si>
  <si>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</si>
  <si>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</si>
  <si>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</si>
  <si>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</si>
  <si>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</si>
  <si>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</si>
  <si>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</si>
  <si>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</si>
  <si>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</si>
  <si>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</si>
  <si>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</si>
  <si>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</si>
  <si>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</si>
  <si>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</si>
  <si>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</si>
  <si>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</si>
  <si>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</si>
  <si>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</si>
  <si>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</si>
  <si>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</si>
  <si>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</si>
  <si>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</si>
  <si>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</si>
  <si>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</si>
  <si>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</si>
  <si>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</si>
  <si>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</si>
  <si>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</si>
  <si>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</si>
  <si>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</si>
  <si>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</si>
  <si>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</si>
  <si>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</si>
  <si>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</si>
  <si>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</si>
  <si>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</si>
  <si>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</si>
  <si>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</si>
  <si>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</si>
  <si>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2021-2022</t>
  </si>
  <si>
    <t>JUNIORS</t>
  </si>
  <si>
    <t>2 et 3 avril 2022</t>
  </si>
  <si>
    <t>Chateaubriand</t>
  </si>
  <si>
    <t>PESSAC</t>
  </si>
  <si>
    <t>RENNES/PONTIVY</t>
  </si>
  <si>
    <t>FONTENAY</t>
  </si>
  <si>
    <t>PONTOISE</t>
  </si>
  <si>
    <t>LAGNY</t>
  </si>
  <si>
    <t>NEUILLY</t>
  </si>
  <si>
    <t>COMBOURG/DINAN</t>
  </si>
  <si>
    <t>LE PUY</t>
  </si>
  <si>
    <t>HYERES</t>
  </si>
  <si>
    <t>MULHOUSE/SEDAN</t>
  </si>
  <si>
    <t>LA ROCHELLE/LILLE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</si>
</sst>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h:mm"/>
    <numFmt numFmtId="174" formatCode="h:mm;@"/>
    <numFmt numFmtId="175" formatCode="&quot;Vrai&quot;;&quot;Vrai&quot;;&quot;Faux&quot;"/>
    <numFmt numFmtId="176" formatCode="&quot;Actif&quot;;&quot;Actif&quot;;&quot;Inactif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00"/>
    <numFmt numFmtId="18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66675</xdr:rowOff>
    </xdr:from>
    <xdr:to>
      <xdr:col>0</xdr:col>
      <xdr:colOff>638175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95275" y="12192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19200"/>
          <a:ext cx="885825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180975</xdr:rowOff>
    </xdr:from>
    <xdr:to>
      <xdr:col>2</xdr:col>
      <xdr:colOff>952500</xdr:colOff>
      <xdr:row>12</xdr:row>
      <xdr:rowOff>180975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104775</xdr:rowOff>
    </xdr:from>
    <xdr:to>
      <xdr:col>5</xdr:col>
      <xdr:colOff>0</xdr:colOff>
      <xdr:row>10</xdr:row>
      <xdr:rowOff>180975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28725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180975</xdr:rowOff>
    </xdr:to>
    <xdr:sp>
      <xdr:nvSpPr>
        <xdr:cNvPr id="12" name="Freeform 20"/>
        <xdr:cNvSpPr>
          <a:spLocks/>
        </xdr:cNvSpPr>
      </xdr:nvSpPr>
      <xdr:spPr>
        <a:xfrm>
          <a:off x="1666875" y="1390650"/>
          <a:ext cx="981075" cy="2647950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3350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71600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142875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04800" y="3695700"/>
          <a:ext cx="361950" cy="1533525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142875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245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8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257175</xdr:rowOff>
    </xdr:from>
    <xdr:to>
      <xdr:col>4</xdr:col>
      <xdr:colOff>790575</xdr:colOff>
      <xdr:row>20</xdr:row>
      <xdr:rowOff>180975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85925" y="58483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19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19500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180975</xdr:rowOff>
    </xdr:from>
    <xdr:to>
      <xdr:col>0</xdr:col>
      <xdr:colOff>666750</xdr:colOff>
      <xdr:row>24</xdr:row>
      <xdr:rowOff>180975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142875</xdr:rowOff>
    </xdr:from>
    <xdr:to>
      <xdr:col>0</xdr:col>
      <xdr:colOff>638175</xdr:colOff>
      <xdr:row>21</xdr:row>
      <xdr:rowOff>142875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436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657225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15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6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67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72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66675</xdr:rowOff>
    </xdr:from>
    <xdr:to>
      <xdr:col>5</xdr:col>
      <xdr:colOff>0</xdr:colOff>
      <xdr:row>13</xdr:row>
      <xdr:rowOff>66675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66675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180975</xdr:rowOff>
    </xdr:from>
    <xdr:to>
      <xdr:col>4</xdr:col>
      <xdr:colOff>371475</xdr:colOff>
      <xdr:row>24</xdr:row>
      <xdr:rowOff>180975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85925" y="6229350"/>
          <a:ext cx="4924425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142875</xdr:rowOff>
    </xdr:to>
    <xdr:sp>
      <xdr:nvSpPr>
        <xdr:cNvPr id="44" name="Freeform 63"/>
        <xdr:cNvSpPr>
          <a:spLocks/>
        </xdr:cNvSpPr>
      </xdr:nvSpPr>
      <xdr:spPr>
        <a:xfrm>
          <a:off x="1666875" y="6134100"/>
          <a:ext cx="2962275" cy="914400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66675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28925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180975</xdr:rowOff>
    </xdr:to>
    <xdr:sp>
      <xdr:nvSpPr>
        <xdr:cNvPr id="46" name="Freeform 65"/>
        <xdr:cNvSpPr>
          <a:spLocks/>
        </xdr:cNvSpPr>
      </xdr:nvSpPr>
      <xdr:spPr>
        <a:xfrm>
          <a:off x="5895975" y="4514850"/>
          <a:ext cx="714375" cy="2876550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2970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962025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2970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457200</xdr:colOff>
      <xdr:row>30</xdr:row>
      <xdr:rowOff>276225</xdr:rowOff>
    </xdr:to>
    <xdr:sp>
      <xdr:nvSpPr>
        <xdr:cNvPr id="49" name="Line 69"/>
        <xdr:cNvSpPr>
          <a:spLocks/>
        </xdr:cNvSpPr>
      </xdr:nvSpPr>
      <xdr:spPr>
        <a:xfrm flipH="1">
          <a:off x="828675" y="874395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28575</xdr:rowOff>
    </xdr:from>
    <xdr:to>
      <xdr:col>1</xdr:col>
      <xdr:colOff>733425</xdr:colOff>
      <xdr:row>30</xdr:row>
      <xdr:rowOff>285750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504825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621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171450</xdr:colOff>
      <xdr:row>30</xdr:row>
      <xdr:rowOff>28575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288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742950</xdr:colOff>
      <xdr:row>30</xdr:row>
      <xdr:rowOff>295275</xdr:rowOff>
    </xdr:to>
    <xdr:sp>
      <xdr:nvSpPr>
        <xdr:cNvPr id="54" name="Line 75"/>
        <xdr:cNvSpPr>
          <a:spLocks/>
        </xdr:cNvSpPr>
      </xdr:nvSpPr>
      <xdr:spPr>
        <a:xfrm>
          <a:off x="22955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504825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527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171450</xdr:colOff>
      <xdr:row>30</xdr:row>
      <xdr:rowOff>28575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194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742950</xdr:colOff>
      <xdr:row>30</xdr:row>
      <xdr:rowOff>295275</xdr:rowOff>
    </xdr:to>
    <xdr:sp>
      <xdr:nvSpPr>
        <xdr:cNvPr id="58" name="Line 80"/>
        <xdr:cNvSpPr>
          <a:spLocks/>
        </xdr:cNvSpPr>
      </xdr:nvSpPr>
      <xdr:spPr>
        <a:xfrm>
          <a:off x="32861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504825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433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171450</xdr:colOff>
      <xdr:row>30</xdr:row>
      <xdr:rowOff>28575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00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742950</xdr:colOff>
      <xdr:row>30</xdr:row>
      <xdr:rowOff>295275</xdr:rowOff>
    </xdr:to>
    <xdr:sp>
      <xdr:nvSpPr>
        <xdr:cNvPr id="62" name="Line 85"/>
        <xdr:cNvSpPr>
          <a:spLocks/>
        </xdr:cNvSpPr>
      </xdr:nvSpPr>
      <xdr:spPr>
        <a:xfrm>
          <a:off x="42767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39225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28575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733425</xdr:colOff>
      <xdr:row>30</xdr:row>
      <xdr:rowOff>295275</xdr:rowOff>
    </xdr:to>
    <xdr:sp>
      <xdr:nvSpPr>
        <xdr:cNvPr id="66" name="Line 95"/>
        <xdr:cNvSpPr>
          <a:spLocks/>
        </xdr:cNvSpPr>
      </xdr:nvSpPr>
      <xdr:spPr>
        <a:xfrm>
          <a:off x="5257800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504825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504825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24575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171450</xdr:colOff>
      <xdr:row>30</xdr:row>
      <xdr:rowOff>28575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7912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742950</xdr:colOff>
      <xdr:row>30</xdr:row>
      <xdr:rowOff>295275</xdr:rowOff>
    </xdr:to>
    <xdr:sp>
      <xdr:nvSpPr>
        <xdr:cNvPr id="70" name="Line 100"/>
        <xdr:cNvSpPr>
          <a:spLocks/>
        </xdr:cNvSpPr>
      </xdr:nvSpPr>
      <xdr:spPr>
        <a:xfrm>
          <a:off x="6257925" y="8763000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180975</xdr:rowOff>
    </xdr:from>
    <xdr:to>
      <xdr:col>4</xdr:col>
      <xdr:colOff>981075</xdr:colOff>
      <xdr:row>13</xdr:row>
      <xdr:rowOff>180975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180975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85925" y="37338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338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219075</xdr:rowOff>
    </xdr:from>
    <xdr:to>
      <xdr:col>6</xdr:col>
      <xdr:colOff>666750</xdr:colOff>
      <xdr:row>17</xdr:row>
      <xdr:rowOff>219075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219075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052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38100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052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152400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2</xdr:col>
      <xdr:colOff>390525</xdr:colOff>
      <xdr:row>2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47625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114300</xdr:rowOff>
    </xdr:from>
    <xdr:to>
      <xdr:col>1</xdr:col>
      <xdr:colOff>1038225</xdr:colOff>
      <xdr:row>6</xdr:row>
      <xdr:rowOff>57150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430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16">
      <selection activeCell="B21" sqref="B21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">
      <c r="A2" s="70"/>
      <c r="B2" s="71"/>
    </row>
    <row r="3" spans="1:2" ht="12">
      <c r="A3" s="70"/>
      <c r="B3" s="71"/>
    </row>
    <row r="4" spans="1:3" ht="18.75" customHeight="1">
      <c r="A4" s="73">
        <v>1</v>
      </c>
      <c r="B4" s="74" t="s">
        <v>112</v>
      </c>
      <c r="C4" s="80" t="s">
        <v>245</v>
      </c>
    </row>
    <row r="5" spans="1:3" ht="15">
      <c r="A5" s="73">
        <v>2</v>
      </c>
      <c r="B5" s="74" t="s">
        <v>113</v>
      </c>
      <c r="C5" s="80" t="s">
        <v>246</v>
      </c>
    </row>
    <row r="6" spans="1:3" ht="15">
      <c r="A6" s="73">
        <v>3</v>
      </c>
      <c r="B6" s="74" t="s">
        <v>114</v>
      </c>
      <c r="C6" s="80" t="s">
        <v>247</v>
      </c>
    </row>
    <row r="7" spans="1:3" ht="15">
      <c r="A7" s="73">
        <v>4</v>
      </c>
      <c r="B7" s="74" t="s">
        <v>115</v>
      </c>
      <c r="C7" s="80" t="s">
        <v>248</v>
      </c>
    </row>
    <row r="8" spans="1:3" ht="46.5">
      <c r="A8" s="73">
        <v>5</v>
      </c>
      <c r="B8" s="74" t="s">
        <v>116</v>
      </c>
      <c r="C8" s="80" t="s">
        <v>124</v>
      </c>
    </row>
    <row r="9" spans="1:3" ht="30.75">
      <c r="A9" s="73">
        <v>6</v>
      </c>
      <c r="B9" s="74" t="s">
        <v>117</v>
      </c>
      <c r="C9" s="81">
        <v>0.01875</v>
      </c>
    </row>
    <row r="10" spans="1:3" ht="15">
      <c r="A10" s="73">
        <v>7</v>
      </c>
      <c r="B10" s="74" t="s">
        <v>199</v>
      </c>
      <c r="C10" s="157">
        <v>0.3958333333333333</v>
      </c>
    </row>
    <row r="11" spans="1:3" ht="15">
      <c r="A11" s="73">
        <v>8</v>
      </c>
      <c r="B11" s="74" t="s">
        <v>200</v>
      </c>
      <c r="C11" s="157">
        <v>0.3333333333333333</v>
      </c>
    </row>
    <row r="12" spans="1:2" ht="15">
      <c r="A12" s="75"/>
      <c r="B12" s="76"/>
    </row>
    <row r="13" spans="1:2" ht="15">
      <c r="A13" s="75"/>
      <c r="B13" s="76"/>
    </row>
    <row r="14" spans="1:2" ht="15">
      <c r="A14" s="75"/>
      <c r="B14" s="76"/>
    </row>
    <row r="15" spans="1:2" ht="15">
      <c r="A15" s="75"/>
      <c r="B15" s="76"/>
    </row>
    <row r="16" spans="1:2" ht="23.25" customHeight="1">
      <c r="A16" s="220" t="s">
        <v>198</v>
      </c>
      <c r="B16" s="220"/>
    </row>
    <row r="17" spans="1:3" ht="15">
      <c r="A17" s="75"/>
      <c r="B17" s="76"/>
      <c r="C17" s="155" t="s">
        <v>174</v>
      </c>
    </row>
    <row r="18" spans="1:3" ht="15">
      <c r="A18" s="77" t="s">
        <v>54</v>
      </c>
      <c r="B18" s="78"/>
      <c r="C18" s="155" t="s">
        <v>187</v>
      </c>
    </row>
    <row r="19" spans="1:3" ht="12">
      <c r="A19" s="156" t="s">
        <v>7</v>
      </c>
      <c r="B19" s="116" t="s">
        <v>249</v>
      </c>
      <c r="C19" s="155" t="s">
        <v>175</v>
      </c>
    </row>
    <row r="20" spans="1:3" ht="12">
      <c r="A20" s="156" t="s">
        <v>8</v>
      </c>
      <c r="B20" s="116" t="s">
        <v>254</v>
      </c>
      <c r="C20" s="155" t="s">
        <v>179</v>
      </c>
    </row>
    <row r="21" spans="1:3" ht="12">
      <c r="A21" s="156" t="s">
        <v>15</v>
      </c>
      <c r="B21" s="116" t="s">
        <v>257</v>
      </c>
      <c r="C21" s="155" t="s">
        <v>186</v>
      </c>
    </row>
    <row r="22" spans="1:3" ht="15">
      <c r="A22" s="77" t="s">
        <v>55</v>
      </c>
      <c r="C22" s="155"/>
    </row>
    <row r="23" spans="1:3" ht="12">
      <c r="A23" s="156" t="s">
        <v>9</v>
      </c>
      <c r="B23" s="116" t="s">
        <v>251</v>
      </c>
      <c r="C23" s="155" t="s">
        <v>176</v>
      </c>
    </row>
    <row r="24" spans="1:3" ht="12">
      <c r="A24" s="156" t="s">
        <v>12</v>
      </c>
      <c r="B24" s="116" t="s">
        <v>255</v>
      </c>
      <c r="C24" s="155" t="s">
        <v>180</v>
      </c>
    </row>
    <row r="25" spans="1:3" ht="12">
      <c r="A25" s="156" t="s">
        <v>16</v>
      </c>
      <c r="B25" s="116" t="s">
        <v>256</v>
      </c>
      <c r="C25" s="155" t="s">
        <v>185</v>
      </c>
    </row>
    <row r="26" spans="1:3" ht="15">
      <c r="A26" s="77" t="s">
        <v>56</v>
      </c>
      <c r="C26" s="155"/>
    </row>
    <row r="27" spans="1:3" ht="12">
      <c r="A27" s="156" t="s">
        <v>10</v>
      </c>
      <c r="B27" s="116" t="s">
        <v>250</v>
      </c>
      <c r="C27" s="155" t="s">
        <v>177</v>
      </c>
    </row>
    <row r="28" spans="1:3" ht="12">
      <c r="A28" s="156" t="s">
        <v>13</v>
      </c>
      <c r="B28" s="116" t="s">
        <v>253</v>
      </c>
      <c r="C28" s="155" t="s">
        <v>181</v>
      </c>
    </row>
    <row r="29" spans="1:3" ht="12">
      <c r="A29" s="156" t="s">
        <v>17</v>
      </c>
      <c r="B29" s="116" t="s">
        <v>195</v>
      </c>
      <c r="C29" s="155" t="s">
        <v>184</v>
      </c>
    </row>
    <row r="30" spans="1:3" ht="15">
      <c r="A30" s="77" t="s">
        <v>57</v>
      </c>
      <c r="C30" s="155"/>
    </row>
    <row r="31" spans="1:3" ht="12">
      <c r="A31" s="156" t="s">
        <v>11</v>
      </c>
      <c r="B31" s="116" t="s">
        <v>252</v>
      </c>
      <c r="C31" s="155" t="s">
        <v>178</v>
      </c>
    </row>
    <row r="32" spans="1:3" ht="12">
      <c r="A32" s="156" t="s">
        <v>14</v>
      </c>
      <c r="B32" s="116" t="s">
        <v>259</v>
      </c>
      <c r="C32" s="155" t="s">
        <v>182</v>
      </c>
    </row>
    <row r="33" spans="1:3" ht="12">
      <c r="A33" s="156" t="s">
        <v>18</v>
      </c>
      <c r="B33" s="116" t="s">
        <v>258</v>
      </c>
      <c r="C33" s="155" t="s">
        <v>183</v>
      </c>
    </row>
    <row r="35" spans="1:4" ht="18">
      <c r="A35" s="221" t="s">
        <v>202</v>
      </c>
      <c r="B35" s="222"/>
      <c r="C35" s="223"/>
      <c r="D35" s="211" t="s">
        <v>203</v>
      </c>
    </row>
    <row r="36" spans="1:4" ht="15">
      <c r="A36" s="221" t="s">
        <v>204</v>
      </c>
      <c r="B36" s="222"/>
      <c r="C36" s="223"/>
      <c r="D36" s="212">
        <v>3</v>
      </c>
    </row>
    <row r="37" spans="1:4" ht="15">
      <c r="A37" s="213"/>
      <c r="B37" s="213" t="s">
        <v>205</v>
      </c>
      <c r="C37" s="213" t="s">
        <v>134</v>
      </c>
      <c r="D37" s="213" t="s">
        <v>125</v>
      </c>
    </row>
    <row r="38" spans="1:4" ht="15">
      <c r="A38" s="109">
        <v>1</v>
      </c>
      <c r="B38" s="214" t="s">
        <v>206</v>
      </c>
      <c r="C38" s="214" t="s">
        <v>207</v>
      </c>
      <c r="D38" s="214" t="s">
        <v>188</v>
      </c>
    </row>
    <row r="39" spans="1:4" ht="15">
      <c r="A39" s="109">
        <v>2</v>
      </c>
      <c r="B39" s="214" t="s">
        <v>208</v>
      </c>
      <c r="C39" s="214" t="s">
        <v>209</v>
      </c>
      <c r="D39" s="214" t="s">
        <v>193</v>
      </c>
    </row>
    <row r="40" spans="1:4" ht="15">
      <c r="A40" s="109">
        <v>3</v>
      </c>
      <c r="B40" s="214" t="s">
        <v>210</v>
      </c>
      <c r="C40" s="214" t="s">
        <v>211</v>
      </c>
      <c r="D40" s="214" t="s">
        <v>190</v>
      </c>
    </row>
    <row r="41" spans="1:4" ht="15">
      <c r="A41" s="109">
        <v>4</v>
      </c>
      <c r="B41" s="214" t="s">
        <v>212</v>
      </c>
      <c r="C41" s="214" t="s">
        <v>213</v>
      </c>
      <c r="D41" s="214" t="s">
        <v>196</v>
      </c>
    </row>
    <row r="42" spans="1:4" ht="15">
      <c r="A42" s="109">
        <v>5</v>
      </c>
      <c r="B42" s="214" t="s">
        <v>214</v>
      </c>
      <c r="C42" s="214" t="s">
        <v>215</v>
      </c>
      <c r="D42" s="214" t="s">
        <v>197</v>
      </c>
    </row>
    <row r="43" spans="1:4" ht="15">
      <c r="A43" s="109">
        <v>6</v>
      </c>
      <c r="B43" s="214" t="s">
        <v>216</v>
      </c>
      <c r="C43" s="214" t="s">
        <v>217</v>
      </c>
      <c r="D43" s="214" t="s">
        <v>194</v>
      </c>
    </row>
    <row r="44" spans="1:4" ht="15">
      <c r="A44" s="109">
        <v>7</v>
      </c>
      <c r="B44" s="214" t="s">
        <v>218</v>
      </c>
      <c r="C44" s="214" t="s">
        <v>219</v>
      </c>
      <c r="D44" s="214" t="s">
        <v>191</v>
      </c>
    </row>
    <row r="45" spans="1:4" ht="15">
      <c r="A45" s="109">
        <v>8</v>
      </c>
      <c r="B45" s="214" t="s">
        <v>220</v>
      </c>
      <c r="C45" s="214" t="s">
        <v>217</v>
      </c>
      <c r="D45" s="214" t="s">
        <v>189</v>
      </c>
    </row>
    <row r="46" spans="1:4" ht="15">
      <c r="A46" s="109">
        <v>9</v>
      </c>
      <c r="B46" s="214" t="s">
        <v>221</v>
      </c>
      <c r="C46" s="214" t="s">
        <v>222</v>
      </c>
      <c r="D46" s="214" t="s">
        <v>192</v>
      </c>
    </row>
    <row r="47" spans="1:4" ht="15">
      <c r="A47" s="109">
        <v>10</v>
      </c>
      <c r="B47" s="214"/>
      <c r="C47" s="214"/>
      <c r="D47" s="214"/>
    </row>
    <row r="48" spans="1:4" ht="15">
      <c r="A48" s="109">
        <v>11</v>
      </c>
      <c r="B48" s="214"/>
      <c r="C48" s="214"/>
      <c r="D48" s="214"/>
    </row>
    <row r="49" spans="1:4" ht="15">
      <c r="A49" s="109">
        <v>12</v>
      </c>
      <c r="B49" s="214"/>
      <c r="C49" s="214"/>
      <c r="D49" s="214"/>
    </row>
    <row r="50" spans="1:4" ht="15">
      <c r="A50" s="109">
        <v>13</v>
      </c>
      <c r="B50" s="214"/>
      <c r="C50" s="214"/>
      <c r="D50" s="214"/>
    </row>
    <row r="51" spans="1:4" ht="15">
      <c r="A51" s="109">
        <v>14</v>
      </c>
      <c r="B51" s="214"/>
      <c r="C51" s="214"/>
      <c r="D51" s="214"/>
    </row>
    <row r="52" spans="1:4" ht="15">
      <c r="A52" s="109">
        <v>15</v>
      </c>
      <c r="B52" s="214"/>
      <c r="C52" s="214"/>
      <c r="D52" s="214"/>
    </row>
    <row r="53" spans="1:4" ht="15">
      <c r="A53" s="109">
        <v>16</v>
      </c>
      <c r="B53" s="214"/>
      <c r="C53" s="214"/>
      <c r="D53" s="214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1">
      <selection activeCell="N11" sqref="N11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6.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4" t="s">
        <v>173</v>
      </c>
      <c r="B28" s="224"/>
      <c r="C28" s="224"/>
      <c r="D28" s="224"/>
      <c r="E28" s="224"/>
      <c r="F28" s="224"/>
      <c r="G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1">
      <pane ySplit="8" topLeftCell="A16" activePane="bottomLeft" state="frozen"/>
      <selection pane="topLeft" activeCell="A1" sqref="A1"/>
      <selection pane="bottomLeft" activeCell="C9" sqref="C9:K20"/>
    </sheetView>
  </sheetViews>
  <sheetFormatPr defaultColWidth="11.421875" defaultRowHeight="12.75"/>
  <cols>
    <col min="1" max="2" width="8.57421875" style="0" customWidth="1"/>
    <col min="3" max="3" width="7.421875" style="0" customWidth="1"/>
    <col min="4" max="4" width="23.421875" style="0" customWidth="1"/>
    <col min="5" max="5" width="4.57421875" style="0" customWidth="1"/>
    <col min="6" max="6" width="1.1484375" style="0" customWidth="1"/>
    <col min="7" max="8" width="7.57421875" style="1" customWidth="1"/>
    <col min="9" max="9" width="0.9921875" style="0" customWidth="1"/>
    <col min="10" max="10" width="4.57421875" style="0" customWidth="1"/>
    <col min="11" max="11" width="26.421875" style="0" customWidth="1"/>
    <col min="12" max="12" width="0.9921875" style="0" customWidth="1"/>
    <col min="13" max="15" width="16.57421875" style="0" customWidth="1"/>
  </cols>
  <sheetData>
    <row r="1" spans="6:15" s="82" customFormat="1" ht="27.75" customHeight="1">
      <c r="F1" s="83"/>
      <c r="G1" s="84" t="s">
        <v>118</v>
      </c>
      <c r="H1" s="85"/>
      <c r="I1" s="233" t="str">
        <f>saison</f>
        <v>2021-2022</v>
      </c>
      <c r="J1" s="233"/>
      <c r="K1" s="233"/>
      <c r="L1" s="233"/>
      <c r="M1" s="233"/>
      <c r="N1" s="233"/>
      <c r="O1" s="233"/>
    </row>
    <row r="2" spans="6:15" s="82" customFormat="1" ht="27.75" customHeight="1">
      <c r="F2" s="83"/>
      <c r="G2" s="231" t="s">
        <v>119</v>
      </c>
      <c r="H2" s="232"/>
      <c r="I2" s="233" t="str">
        <f>lieu</f>
        <v>Chateaubriand</v>
      </c>
      <c r="J2" s="233"/>
      <c r="K2" s="233"/>
      <c r="L2" s="233"/>
      <c r="M2" s="233"/>
      <c r="N2" s="233"/>
      <c r="O2" s="233"/>
    </row>
    <row r="3" spans="11:15" s="85" customFormat="1" ht="34.5" customHeight="1">
      <c r="K3" s="234" t="s">
        <v>120</v>
      </c>
      <c r="L3" s="234"/>
      <c r="M3" s="234"/>
      <c r="N3" s="234"/>
      <c r="O3" s="234"/>
    </row>
    <row r="4" spans="1:15" s="85" customFormat="1" ht="21" customHeight="1">
      <c r="A4" s="84" t="s">
        <v>121</v>
      </c>
      <c r="B4" s="235" t="str">
        <f>date</f>
        <v>2 et 3 avril 2022</v>
      </c>
      <c r="C4" s="236"/>
      <c r="D4" s="236"/>
      <c r="E4" s="236"/>
      <c r="F4" s="236"/>
      <c r="G4" s="236"/>
      <c r="H4" s="236"/>
      <c r="I4" s="237"/>
      <c r="J4" s="231" t="s">
        <v>122</v>
      </c>
      <c r="K4" s="231"/>
      <c r="L4" s="232"/>
      <c r="M4" s="233" t="str">
        <f>catégorie</f>
        <v>JUNIORS</v>
      </c>
      <c r="N4" s="233"/>
      <c r="O4" s="233"/>
    </row>
    <row r="5" spans="1:18" s="82" customFormat="1" ht="18" customHeight="1">
      <c r="A5" s="230" t="s">
        <v>123</v>
      </c>
      <c r="B5" s="230"/>
      <c r="C5" s="230"/>
      <c r="D5" s="238" t="str">
        <f>duréematch</f>
        <v>2*10' +2' de mi-temps +1' temps mort par  équipe +3' inter-match = 27'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7" t="s">
        <v>132</v>
      </c>
      <c r="N7" s="228"/>
      <c r="O7" s="229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3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4</v>
      </c>
      <c r="L8" s="13"/>
      <c r="M8" s="110" t="s">
        <v>129</v>
      </c>
      <c r="N8" s="225" t="s">
        <v>84</v>
      </c>
      <c r="O8" s="226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143</v>
      </c>
      <c r="D9" s="132" t="str">
        <f>pa1</f>
        <v>PESSAC</v>
      </c>
      <c r="E9" s="132" t="s">
        <v>7</v>
      </c>
      <c r="F9" s="133"/>
      <c r="G9" s="134"/>
      <c r="H9" s="135"/>
      <c r="I9" s="133"/>
      <c r="J9" s="132" t="s">
        <v>8</v>
      </c>
      <c r="K9" s="132" t="str">
        <f>pa5</f>
        <v>NEUILLY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144</v>
      </c>
      <c r="D10" s="132" t="str">
        <f>pb2</f>
        <v>FONTENAY</v>
      </c>
      <c r="E10" s="132" t="s">
        <v>9</v>
      </c>
      <c r="F10" s="133"/>
      <c r="G10" s="135"/>
      <c r="H10" s="135"/>
      <c r="I10" s="133"/>
      <c r="J10" s="132" t="s">
        <v>12</v>
      </c>
      <c r="K10" s="132" t="str">
        <f>pb6</f>
        <v>COMBOURG/DINAN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145</v>
      </c>
      <c r="D11" s="132" t="str">
        <f>pc3</f>
        <v>RENNES/PONTIVY</v>
      </c>
      <c r="E11" s="132" t="s">
        <v>10</v>
      </c>
      <c r="F11" s="133"/>
      <c r="G11" s="135"/>
      <c r="H11" s="135"/>
      <c r="I11" s="133"/>
      <c r="J11" s="132" t="s">
        <v>13</v>
      </c>
      <c r="K11" s="132" t="str">
        <f>pc7</f>
        <v>LAGNY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146</v>
      </c>
      <c r="D12" s="132" t="str">
        <f>pd4</f>
        <v>PONTOISE</v>
      </c>
      <c r="E12" s="132" t="s">
        <v>11</v>
      </c>
      <c r="F12" s="133"/>
      <c r="G12" s="135"/>
      <c r="H12" s="135"/>
      <c r="I12" s="133"/>
      <c r="J12" s="132" t="s">
        <v>14</v>
      </c>
      <c r="K12" s="132" t="str">
        <f>pd8</f>
        <v>LA ROCHELLE/LILLE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147</v>
      </c>
      <c r="D13" s="132" t="str">
        <f>pa5</f>
        <v>NEUILLY</v>
      </c>
      <c r="E13" s="132" t="s">
        <v>8</v>
      </c>
      <c r="F13" s="133"/>
      <c r="G13" s="135"/>
      <c r="H13" s="135"/>
      <c r="I13" s="133"/>
      <c r="J13" s="132" t="s">
        <v>15</v>
      </c>
      <c r="K13" s="132" t="str">
        <f>pa9</f>
        <v>HYERES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148</v>
      </c>
      <c r="D14" s="132" t="str">
        <f>pb6</f>
        <v>COMBOURG/DINAN</v>
      </c>
      <c r="E14" s="132" t="s">
        <v>12</v>
      </c>
      <c r="F14" s="133"/>
      <c r="G14" s="135"/>
      <c r="H14" s="135"/>
      <c r="I14" s="133"/>
      <c r="J14" s="132" t="s">
        <v>16</v>
      </c>
      <c r="K14" s="132" t="str">
        <f>pb10</f>
        <v>LE PUY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149</v>
      </c>
      <c r="D15" s="132" t="str">
        <f>pc7</f>
        <v>LAGNY</v>
      </c>
      <c r="E15" s="132" t="s">
        <v>13</v>
      </c>
      <c r="F15" s="133"/>
      <c r="G15" s="135"/>
      <c r="H15" s="135"/>
      <c r="I15" s="133"/>
      <c r="J15" s="132" t="s">
        <v>17</v>
      </c>
      <c r="K15" s="132" t="str">
        <f>pc11</f>
        <v>Equipe 12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150</v>
      </c>
      <c r="D16" s="132" t="str">
        <f>pd8</f>
        <v>LA ROCHELLE/LILLE</v>
      </c>
      <c r="E16" s="132" t="s">
        <v>14</v>
      </c>
      <c r="F16" s="133"/>
      <c r="G16" s="135"/>
      <c r="H16" s="135"/>
      <c r="I16" s="133"/>
      <c r="J16" s="132" t="s">
        <v>18</v>
      </c>
      <c r="K16" s="132" t="str">
        <f>pd12</f>
        <v>MULHOUSE/SEDAN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151</v>
      </c>
      <c r="D17" s="132" t="str">
        <f>pa9</f>
        <v>HYERES</v>
      </c>
      <c r="E17" s="132" t="s">
        <v>15</v>
      </c>
      <c r="F17" s="133"/>
      <c r="G17" s="135"/>
      <c r="H17" s="135"/>
      <c r="I17" s="133"/>
      <c r="J17" s="132" t="s">
        <v>7</v>
      </c>
      <c r="K17" s="132" t="str">
        <f>pa1</f>
        <v>PESSAC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152</v>
      </c>
      <c r="D18" s="132" t="str">
        <f>pb10</f>
        <v>LE PUY</v>
      </c>
      <c r="E18" s="132" t="s">
        <v>16</v>
      </c>
      <c r="F18" s="133"/>
      <c r="G18" s="135"/>
      <c r="H18" s="135"/>
      <c r="I18" s="133"/>
      <c r="J18" s="132" t="s">
        <v>9</v>
      </c>
      <c r="K18" s="132" t="str">
        <f>pb2</f>
        <v>FONTENAY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153</v>
      </c>
      <c r="D19" s="132" t="str">
        <f>pc11</f>
        <v>Equipe 12</v>
      </c>
      <c r="E19" s="132" t="s">
        <v>17</v>
      </c>
      <c r="F19" s="133"/>
      <c r="G19" s="135"/>
      <c r="H19" s="135"/>
      <c r="I19" s="133"/>
      <c r="J19" s="132" t="s">
        <v>10</v>
      </c>
      <c r="K19" s="132" t="str">
        <f>pc3</f>
        <v>RENNES/PONTIVY</v>
      </c>
      <c r="L19" s="133"/>
      <c r="M19" s="143"/>
      <c r="N19" s="145"/>
      <c r="O19" s="218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154</v>
      </c>
      <c r="D20" s="135" t="str">
        <f>pd12</f>
        <v>MULHOUSE/SEDAN</v>
      </c>
      <c r="E20" s="132" t="s">
        <v>18</v>
      </c>
      <c r="F20" s="133"/>
      <c r="G20" s="135"/>
      <c r="H20" s="135"/>
      <c r="I20" s="133"/>
      <c r="J20" s="132" t="s">
        <v>11</v>
      </c>
      <c r="K20" s="132" t="str">
        <f>pd4</f>
        <v>PONTOISE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155</v>
      </c>
      <c r="D21" s="135">
        <f>x1a</f>
      </c>
      <c r="E21" s="132" t="s">
        <v>19</v>
      </c>
      <c r="F21" s="133"/>
      <c r="G21" s="135"/>
      <c r="H21" s="135"/>
      <c r="I21" s="133"/>
      <c r="J21" s="132" t="s">
        <v>24</v>
      </c>
      <c r="K21" s="135">
        <f>x1b</f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156</v>
      </c>
      <c r="D22" s="135">
        <f>x2a</f>
      </c>
      <c r="E22" s="132" t="s">
        <v>20</v>
      </c>
      <c r="F22" s="133"/>
      <c r="G22" s="135"/>
      <c r="H22" s="135"/>
      <c r="I22" s="133"/>
      <c r="J22" s="132" t="s">
        <v>23</v>
      </c>
      <c r="K22" s="135">
        <f>x2b</f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157</v>
      </c>
      <c r="D23" s="135">
        <f>y1c</f>
      </c>
      <c r="E23" s="132" t="s">
        <v>21</v>
      </c>
      <c r="F23" s="133"/>
      <c r="G23" s="135"/>
      <c r="H23" s="135"/>
      <c r="I23" s="133"/>
      <c r="J23" s="132" t="s">
        <v>26</v>
      </c>
      <c r="K23" s="135">
        <f>y1d</f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158</v>
      </c>
      <c r="D24" s="135">
        <f>y2c</f>
      </c>
      <c r="E24" s="132" t="s">
        <v>22</v>
      </c>
      <c r="F24" s="133"/>
      <c r="G24" s="135"/>
      <c r="H24" s="135"/>
      <c r="I24" s="133"/>
      <c r="J24" s="132" t="s">
        <v>25</v>
      </c>
      <c r="K24" s="135">
        <f>y2d</f>
      </c>
      <c r="L24" s="133"/>
      <c r="M24" s="146"/>
      <c r="N24" s="147"/>
      <c r="O24" s="145"/>
    </row>
    <row r="25" spans="1:15" s="10" customFormat="1" ht="16.5" customHeight="1" thickBot="1" thickTop="1">
      <c r="A25" s="37" t="s">
        <v>82</v>
      </c>
      <c r="B25" s="39">
        <f t="shared" si="0"/>
        <v>0.6958333333333337</v>
      </c>
      <c r="C25" s="153" t="s">
        <v>159</v>
      </c>
      <c r="D25" s="135">
        <f>x2b</f>
      </c>
      <c r="E25" s="132" t="s">
        <v>23</v>
      </c>
      <c r="F25" s="133"/>
      <c r="G25" s="135"/>
      <c r="H25" s="135"/>
      <c r="I25" s="133"/>
      <c r="J25" s="132" t="s">
        <v>19</v>
      </c>
      <c r="K25" s="135">
        <f>x1a</f>
      </c>
      <c r="L25" s="133"/>
      <c r="M25" s="146"/>
      <c r="N25" s="145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160</v>
      </c>
      <c r="D26" s="135">
        <f>x1b</f>
      </c>
      <c r="E26" s="132" t="s">
        <v>24</v>
      </c>
      <c r="F26" s="133"/>
      <c r="G26" s="135"/>
      <c r="H26" s="135"/>
      <c r="I26" s="133"/>
      <c r="J26" s="132" t="s">
        <v>20</v>
      </c>
      <c r="K26" s="135">
        <f>x2a</f>
      </c>
      <c r="L26" s="133"/>
      <c r="M26" s="146"/>
      <c r="N26" s="145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161</v>
      </c>
      <c r="D27" s="135">
        <f>y2d</f>
      </c>
      <c r="E27" s="132" t="s">
        <v>25</v>
      </c>
      <c r="F27" s="133"/>
      <c r="G27" s="135"/>
      <c r="H27" s="135"/>
      <c r="I27" s="133"/>
      <c r="J27" s="132" t="s">
        <v>21</v>
      </c>
      <c r="K27" s="135">
        <f>y1c</f>
      </c>
      <c r="L27" s="133"/>
      <c r="M27" s="146"/>
      <c r="N27" s="146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162</v>
      </c>
      <c r="D28" s="135">
        <f>y1d</f>
      </c>
      <c r="E28" s="132" t="s">
        <v>26</v>
      </c>
      <c r="F28" s="133"/>
      <c r="G28" s="135"/>
      <c r="H28" s="135"/>
      <c r="I28" s="133"/>
      <c r="J28" s="132" t="s">
        <v>22</v>
      </c>
      <c r="K28" s="135">
        <f>y2c</f>
      </c>
      <c r="L28" s="133"/>
      <c r="M28" s="146"/>
      <c r="N28" s="146"/>
      <c r="O28" s="145"/>
    </row>
    <row r="29" spans="1:15" s="10" customFormat="1" ht="13.5" thickBot="1" thickTop="1">
      <c r="A29" s="37" t="s">
        <v>82</v>
      </c>
      <c r="B29" s="39">
        <f t="shared" si="0"/>
        <v>0.7708333333333339</v>
      </c>
      <c r="C29" s="153" t="s">
        <v>163</v>
      </c>
      <c r="D29" s="135">
        <f>e3c</f>
      </c>
      <c r="E29" s="132" t="s">
        <v>27</v>
      </c>
      <c r="F29" s="133"/>
      <c r="G29" s="135"/>
      <c r="H29" s="135"/>
      <c r="I29" s="133"/>
      <c r="J29" s="132" t="s">
        <v>28</v>
      </c>
      <c r="K29" s="135">
        <f>e3d</f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164</v>
      </c>
      <c r="D30" s="135">
        <f>f3a</f>
      </c>
      <c r="E30" s="132" t="s">
        <v>29</v>
      </c>
      <c r="F30" s="133"/>
      <c r="G30" s="135"/>
      <c r="H30" s="135"/>
      <c r="I30" s="133"/>
      <c r="J30" s="132" t="s">
        <v>30</v>
      </c>
      <c r="K30" s="135">
        <f>f3b</f>
      </c>
      <c r="L30" s="133"/>
      <c r="M30" s="143"/>
      <c r="N30" s="144"/>
      <c r="O30" s="145"/>
    </row>
    <row r="31" spans="1:15" s="10" customFormat="1" ht="13.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3">
        <f>C30+1</f>
        <v>23</v>
      </c>
      <c r="D34" s="135">
        <f>g2x</f>
      </c>
      <c r="E34" s="132" t="s">
        <v>31</v>
      </c>
      <c r="F34" s="133"/>
      <c r="G34" s="135"/>
      <c r="H34" s="135"/>
      <c r="I34" s="133"/>
      <c r="J34" s="132" t="s">
        <v>36</v>
      </c>
      <c r="K34" s="135">
        <f>g2y</f>
      </c>
      <c r="L34" s="133"/>
      <c r="M34" s="143"/>
      <c r="N34" s="144"/>
      <c r="O34" s="145"/>
    </row>
    <row r="35" spans="1:15" s="10" customFormat="1" ht="13.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>
        <f>g3x</f>
      </c>
      <c r="E35" s="132" t="s">
        <v>32</v>
      </c>
      <c r="F35" s="133"/>
      <c r="G35" s="135"/>
      <c r="H35" s="135"/>
      <c r="I35" s="133"/>
      <c r="J35" s="132" t="s">
        <v>35</v>
      </c>
      <c r="K35" s="135">
        <f>g3y</f>
      </c>
      <c r="L35" s="133"/>
      <c r="M35" s="143"/>
      <c r="N35" s="145"/>
      <c r="O35" s="145"/>
    </row>
    <row r="36" spans="1:15" s="10" customFormat="1" ht="13.5" thickBot="1" thickTop="1">
      <c r="A36" s="38" t="s">
        <v>83</v>
      </c>
      <c r="B36" s="39">
        <f t="shared" si="1"/>
        <v>0.3708333333333333</v>
      </c>
      <c r="C36" s="153">
        <v>25</v>
      </c>
      <c r="D36" s="135">
        <f>e4x</f>
      </c>
      <c r="E36" s="132" t="s">
        <v>33</v>
      </c>
      <c r="F36" s="133"/>
      <c r="G36" s="135"/>
      <c r="H36" s="135"/>
      <c r="I36" s="133"/>
      <c r="J36" s="132" t="s">
        <v>27</v>
      </c>
      <c r="K36" s="135">
        <f>e3c</f>
      </c>
      <c r="L36" s="133"/>
      <c r="M36" s="143"/>
      <c r="N36" s="144"/>
      <c r="O36" s="144"/>
    </row>
    <row r="37" spans="1:15" s="10" customFormat="1" ht="13.5" thickBot="1" thickTop="1">
      <c r="A37" s="38" t="s">
        <v>83</v>
      </c>
      <c r="B37" s="39">
        <f t="shared" si="1"/>
        <v>0.3895833333333333</v>
      </c>
      <c r="C37" s="153">
        <v>26</v>
      </c>
      <c r="D37" s="135">
        <f>f4y</f>
      </c>
      <c r="E37" s="132" t="s">
        <v>34</v>
      </c>
      <c r="F37" s="133"/>
      <c r="G37" s="135"/>
      <c r="H37" s="135"/>
      <c r="I37" s="133"/>
      <c r="J37" s="132" t="s">
        <v>29</v>
      </c>
      <c r="K37" s="135">
        <f>f3a</f>
      </c>
      <c r="L37" s="133"/>
      <c r="M37" s="143"/>
      <c r="N37" s="144"/>
      <c r="O37" s="144"/>
    </row>
    <row r="38" spans="1:15" s="10" customFormat="1" ht="13.5" thickBot="1" thickTop="1">
      <c r="A38" s="38" t="s">
        <v>83</v>
      </c>
      <c r="B38" s="39">
        <f t="shared" si="1"/>
        <v>0.40833333333333327</v>
      </c>
      <c r="C38" s="153">
        <v>27</v>
      </c>
      <c r="D38" s="135">
        <f>g3y</f>
      </c>
      <c r="E38" s="132" t="s">
        <v>35</v>
      </c>
      <c r="F38" s="133"/>
      <c r="G38" s="135"/>
      <c r="H38" s="135"/>
      <c r="I38" s="133"/>
      <c r="J38" s="132" t="s">
        <v>31</v>
      </c>
      <c r="K38" s="135">
        <f>g2x</f>
      </c>
      <c r="L38" s="133"/>
      <c r="M38" s="143"/>
      <c r="N38" s="144"/>
      <c r="O38" s="144"/>
    </row>
    <row r="39" spans="1:15" s="10" customFormat="1" ht="13.5" thickBot="1" thickTop="1">
      <c r="A39" s="38" t="s">
        <v>83</v>
      </c>
      <c r="B39" s="39">
        <f t="shared" si="1"/>
        <v>0.42708333333333326</v>
      </c>
      <c r="C39" s="153">
        <v>28</v>
      </c>
      <c r="D39" s="135">
        <f>g2y</f>
      </c>
      <c r="E39" s="132" t="s">
        <v>36</v>
      </c>
      <c r="F39" s="133"/>
      <c r="G39" s="135"/>
      <c r="H39" s="135"/>
      <c r="I39" s="133"/>
      <c r="J39" s="132" t="s">
        <v>32</v>
      </c>
      <c r="K39" s="135">
        <f>g3x</f>
      </c>
      <c r="L39" s="133"/>
      <c r="M39" s="143"/>
      <c r="N39" s="144"/>
      <c r="O39" s="145"/>
    </row>
    <row r="40" spans="1:15" s="10" customFormat="1" ht="13.5" thickBot="1" thickTop="1">
      <c r="A40" s="38" t="s">
        <v>83</v>
      </c>
      <c r="B40" s="39">
        <f t="shared" si="1"/>
        <v>0.44583333333333325</v>
      </c>
      <c r="C40" s="153">
        <v>29</v>
      </c>
      <c r="D40" s="135">
        <f>e3d</f>
      </c>
      <c r="E40" s="132" t="s">
        <v>28</v>
      </c>
      <c r="F40" s="133"/>
      <c r="G40" s="135"/>
      <c r="H40" s="135"/>
      <c r="I40" s="133"/>
      <c r="J40" s="132" t="s">
        <v>33</v>
      </c>
      <c r="K40" s="135">
        <f>e4x</f>
      </c>
      <c r="L40" s="133"/>
      <c r="M40" s="143"/>
      <c r="N40" s="144"/>
      <c r="O40" s="144"/>
    </row>
    <row r="41" spans="1:15" s="10" customFormat="1" ht="13.5" thickBot="1" thickTop="1">
      <c r="A41" s="38" t="s">
        <v>83</v>
      </c>
      <c r="B41" s="39">
        <f t="shared" si="1"/>
        <v>0.46458333333333324</v>
      </c>
      <c r="C41" s="153">
        <v>30</v>
      </c>
      <c r="D41" s="135">
        <f>f3b</f>
      </c>
      <c r="E41" s="132" t="s">
        <v>30</v>
      </c>
      <c r="F41" s="133"/>
      <c r="G41" s="135"/>
      <c r="H41" s="135"/>
      <c r="I41" s="133"/>
      <c r="J41" s="132" t="s">
        <v>34</v>
      </c>
      <c r="K41" s="135">
        <f>f4y</f>
      </c>
      <c r="L41" s="133"/>
      <c r="M41" s="143"/>
      <c r="N41" s="144"/>
      <c r="O41" s="145"/>
    </row>
    <row r="42" spans="1:15" s="10" customFormat="1" ht="13.5" thickBot="1" thickTop="1">
      <c r="A42" s="38" t="s">
        <v>83</v>
      </c>
      <c r="B42" s="39">
        <f t="shared" si="1"/>
        <v>0.4833333333333332</v>
      </c>
      <c r="C42" s="153">
        <v>31</v>
      </c>
      <c r="D42" s="135">
        <f>f1_1x</f>
      </c>
      <c r="E42" s="132" t="s">
        <v>37</v>
      </c>
      <c r="F42" s="133"/>
      <c r="G42" s="135"/>
      <c r="H42" s="135"/>
      <c r="I42" s="133"/>
      <c r="J42" s="132" t="s">
        <v>49</v>
      </c>
      <c r="K42" s="135">
        <f>f1_2g</f>
      </c>
      <c r="L42" s="133"/>
      <c r="M42" s="143"/>
      <c r="N42" s="144"/>
      <c r="O42" s="144"/>
    </row>
    <row r="43" spans="1:15" s="10" customFormat="1" ht="13.5" thickBot="1" thickTop="1">
      <c r="A43" s="38" t="s">
        <v>83</v>
      </c>
      <c r="B43" s="39">
        <f t="shared" si="1"/>
        <v>0.5020833333333332</v>
      </c>
      <c r="C43" s="153">
        <v>32</v>
      </c>
      <c r="D43" s="135">
        <f>f2_1y</f>
      </c>
      <c r="E43" s="132" t="s">
        <v>38</v>
      </c>
      <c r="F43" s="133"/>
      <c r="G43" s="135"/>
      <c r="H43" s="135"/>
      <c r="I43" s="133"/>
      <c r="J43" s="132" t="s">
        <v>48</v>
      </c>
      <c r="K43" s="135">
        <f>f2_1g</f>
      </c>
      <c r="L43" s="133"/>
      <c r="M43" s="143"/>
      <c r="N43" s="145"/>
      <c r="O43" s="144"/>
    </row>
    <row r="44" spans="1:15" s="10" customFormat="1" ht="13.5" thickBot="1" thickTop="1">
      <c r="A44" s="38" t="s">
        <v>83</v>
      </c>
      <c r="B44" s="39">
        <f t="shared" si="1"/>
        <v>0.5208333333333333</v>
      </c>
      <c r="C44" s="153">
        <v>33</v>
      </c>
      <c r="D44" s="135">
        <f>f_3e</f>
      </c>
      <c r="E44" s="132" t="s">
        <v>39</v>
      </c>
      <c r="F44" s="133"/>
      <c r="G44" s="135"/>
      <c r="H44" s="135"/>
      <c r="I44" s="133"/>
      <c r="J44" s="200" t="s">
        <v>77</v>
      </c>
      <c r="K44" s="135">
        <f>f_2f</f>
      </c>
      <c r="L44" s="133"/>
      <c r="M44" s="143"/>
      <c r="N44" s="144"/>
      <c r="O44" s="219"/>
    </row>
    <row r="45" spans="1:15" s="10" customFormat="1" ht="13.5" thickBot="1" thickTop="1">
      <c r="A45" s="38" t="s">
        <v>83</v>
      </c>
      <c r="B45" s="39">
        <f t="shared" si="1"/>
        <v>0.5395833333333333</v>
      </c>
      <c r="C45" s="153">
        <v>34</v>
      </c>
      <c r="D45" s="135">
        <f>f_2e</f>
      </c>
      <c r="E45" s="132" t="s">
        <v>40</v>
      </c>
      <c r="F45" s="133"/>
      <c r="G45" s="135"/>
      <c r="H45" s="135"/>
      <c r="I45" s="133"/>
      <c r="J45" s="200" t="s">
        <v>67</v>
      </c>
      <c r="K45" s="135">
        <f>f_3f</f>
      </c>
      <c r="L45" s="133"/>
      <c r="M45" s="143"/>
      <c r="N45" s="144"/>
      <c r="O45" s="145"/>
    </row>
    <row r="46" spans="1:17" s="10" customFormat="1" ht="13.5" thickBot="1" thickTop="1">
      <c r="A46" s="38" t="s">
        <v>83</v>
      </c>
      <c r="B46" s="39">
        <f t="shared" si="1"/>
        <v>0.5583333333333333</v>
      </c>
      <c r="C46" s="153">
        <v>35</v>
      </c>
      <c r="D46" s="135">
        <f>f_4g</f>
      </c>
      <c r="E46" s="132" t="s">
        <v>41</v>
      </c>
      <c r="F46" s="133"/>
      <c r="G46" s="135"/>
      <c r="H46" s="135"/>
      <c r="I46" s="133"/>
      <c r="J46" s="200" t="s">
        <v>70</v>
      </c>
      <c r="K46" s="135">
        <f>f_1f</f>
      </c>
      <c r="L46" s="133"/>
      <c r="M46" s="143"/>
      <c r="N46" s="144"/>
      <c r="O46" s="144"/>
      <c r="Q46" s="152"/>
    </row>
    <row r="47" spans="1:17" s="10" customFormat="1" ht="13.5" thickBot="1" thickTop="1">
      <c r="A47" s="38" t="s">
        <v>83</v>
      </c>
      <c r="B47" s="39">
        <f t="shared" si="1"/>
        <v>0.5770833333333334</v>
      </c>
      <c r="C47" s="153">
        <v>36</v>
      </c>
      <c r="D47" s="135">
        <f>f_3g</f>
      </c>
      <c r="E47" s="132" t="s">
        <v>42</v>
      </c>
      <c r="F47" s="133"/>
      <c r="G47" s="135"/>
      <c r="H47" s="135"/>
      <c r="I47" s="133"/>
      <c r="J47" s="132" t="s">
        <v>47</v>
      </c>
      <c r="K47" s="135">
        <f>f_1e</f>
      </c>
      <c r="L47" s="133"/>
      <c r="M47" s="143"/>
      <c r="N47" s="145"/>
      <c r="O47" s="144"/>
      <c r="Q47" s="152"/>
    </row>
    <row r="48" spans="1:15" s="10" customFormat="1" ht="13.5" thickBot="1" thickTop="1">
      <c r="A48" s="38" t="s">
        <v>83</v>
      </c>
      <c r="B48" s="39">
        <f t="shared" si="1"/>
        <v>0.5958333333333334</v>
      </c>
      <c r="C48" s="153">
        <v>37</v>
      </c>
      <c r="D48" s="135">
        <f>f_291</f>
      </c>
      <c r="E48" s="132">
        <v>291</v>
      </c>
      <c r="F48" s="133"/>
      <c r="G48" s="135"/>
      <c r="H48" s="135"/>
      <c r="I48" s="133"/>
      <c r="J48" s="132">
        <v>292</v>
      </c>
      <c r="K48" s="135">
        <f>f_292</f>
      </c>
      <c r="L48" s="133"/>
      <c r="M48" s="143"/>
      <c r="N48" s="145"/>
      <c r="O48" s="218"/>
    </row>
    <row r="49" spans="1:15" s="10" customFormat="1" ht="13.5" thickBot="1" thickTop="1">
      <c r="A49" s="38" t="s">
        <v>83</v>
      </c>
      <c r="B49" s="39">
        <f t="shared" si="1"/>
        <v>0.6145833333333335</v>
      </c>
      <c r="C49" s="153">
        <v>38</v>
      </c>
      <c r="D49" s="135">
        <f>f_191</f>
      </c>
      <c r="E49" s="132">
        <v>191</v>
      </c>
      <c r="F49" s="133"/>
      <c r="G49" s="135"/>
      <c r="H49" s="135"/>
      <c r="I49" s="133"/>
      <c r="J49" s="132">
        <v>192</v>
      </c>
      <c r="K49" s="135">
        <f>f_192</f>
      </c>
      <c r="L49" s="133"/>
      <c r="M49" s="143"/>
      <c r="N49" s="145"/>
      <c r="O49" s="145"/>
    </row>
    <row r="50" spans="1:15" s="10" customFormat="1" ht="13.5" thickBot="1" thickTop="1">
      <c r="A50" s="38" t="s">
        <v>83</v>
      </c>
      <c r="B50" s="39">
        <f t="shared" si="1"/>
        <v>0.6333333333333335</v>
      </c>
      <c r="C50" s="153">
        <v>39</v>
      </c>
      <c r="D50" s="135">
        <f>f_252</f>
      </c>
      <c r="E50" s="132">
        <v>251</v>
      </c>
      <c r="F50" s="133"/>
      <c r="G50" s="135"/>
      <c r="H50" s="135"/>
      <c r="I50" s="133"/>
      <c r="J50" s="132">
        <v>252</v>
      </c>
      <c r="K50" s="135">
        <f>f_251</f>
      </c>
      <c r="L50" s="133"/>
      <c r="M50" s="143"/>
      <c r="N50" s="144"/>
      <c r="O50" s="144"/>
    </row>
    <row r="51" spans="1:15" s="10" customFormat="1" ht="13.5" thickBot="1" thickTop="1">
      <c r="A51" s="38" t="s">
        <v>83</v>
      </c>
      <c r="B51" s="39">
        <f t="shared" si="1"/>
        <v>0.6520833333333336</v>
      </c>
      <c r="C51" s="153">
        <v>40</v>
      </c>
      <c r="D51" s="135">
        <f>f_152</f>
      </c>
      <c r="E51" s="132">
        <v>151</v>
      </c>
      <c r="F51" s="133"/>
      <c r="G51" s="135"/>
      <c r="H51" s="135"/>
      <c r="I51" s="133"/>
      <c r="J51" s="132">
        <v>152</v>
      </c>
      <c r="K51" s="135">
        <f>f_151</f>
      </c>
      <c r="L51" s="133"/>
      <c r="M51" s="143"/>
      <c r="N51" s="144"/>
      <c r="O51" s="144"/>
    </row>
    <row r="52" spans="1:15" s="10" customFormat="1" ht="13.5" thickBot="1" thickTop="1">
      <c r="A52" s="38" t="s">
        <v>83</v>
      </c>
      <c r="B52" s="39">
        <f t="shared" si="1"/>
        <v>0.6708333333333336</v>
      </c>
      <c r="C52" s="153">
        <v>41</v>
      </c>
      <c r="D52" s="135">
        <f>f_2f1</f>
      </c>
      <c r="E52" s="132" t="s">
        <v>43</v>
      </c>
      <c r="F52" s="133"/>
      <c r="G52" s="135"/>
      <c r="H52" s="135"/>
      <c r="I52" s="133"/>
      <c r="J52" s="132" t="s">
        <v>46</v>
      </c>
      <c r="K52" s="135">
        <f>f_2f2</f>
      </c>
      <c r="L52" s="133"/>
      <c r="M52" s="143"/>
      <c r="N52" s="144"/>
      <c r="O52" s="144"/>
    </row>
    <row r="53" spans="1:15" s="10" customFormat="1" ht="13.5" thickBot="1" thickTop="1">
      <c r="A53" s="38" t="s">
        <v>83</v>
      </c>
      <c r="B53" s="39">
        <f t="shared" si="1"/>
        <v>0.6895833333333337</v>
      </c>
      <c r="C53" s="153">
        <v>42</v>
      </c>
      <c r="D53" s="135">
        <f>f_1f1</f>
      </c>
      <c r="E53" s="132" t="s">
        <v>44</v>
      </c>
      <c r="F53" s="133"/>
      <c r="G53" s="135"/>
      <c r="H53" s="135"/>
      <c r="I53" s="133"/>
      <c r="J53" s="132" t="s">
        <v>45</v>
      </c>
      <c r="K53" s="135">
        <f>f_1f2</f>
      </c>
      <c r="L53" s="133"/>
      <c r="M53" s="143"/>
      <c r="N53" s="144"/>
      <c r="O53" s="144"/>
    </row>
    <row r="54" spans="1:15" s="10" customFormat="1" ht="13.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10.57421875" style="16" customWidth="1"/>
    <col min="2" max="2" width="4.8515625" style="16" customWidth="1"/>
    <col min="3" max="3" width="23.574218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57421875" style="16" customWidth="1"/>
    <col min="14" max="14" width="5.8515625" style="16" customWidth="1"/>
    <col min="15" max="15" width="6.8515625" style="16" customWidth="1"/>
    <col min="16" max="16" width="23.421875" style="16" customWidth="1"/>
    <col min="17" max="24" width="4.57421875" style="16" customWidth="1"/>
    <col min="25" max="25" width="6.140625" style="16" customWidth="1"/>
    <col min="26" max="26" width="6.00390625" style="16" customWidth="1"/>
    <col min="27" max="27" width="8.42187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3" t="str">
        <f>saison</f>
        <v>2021-2022</v>
      </c>
      <c r="J1" s="233"/>
      <c r="K1" s="233"/>
      <c r="L1" s="233"/>
      <c r="M1" s="233"/>
      <c r="N1" s="233"/>
      <c r="O1" s="233"/>
      <c r="P1" s="233"/>
    </row>
    <row r="2" spans="6:27" s="82" customFormat="1" ht="27.75" customHeight="1">
      <c r="F2" s="83"/>
      <c r="G2" s="231" t="s">
        <v>119</v>
      </c>
      <c r="H2" s="232"/>
      <c r="I2" s="235" t="str">
        <f>lieu</f>
        <v>Chateaubriand</v>
      </c>
      <c r="J2" s="236"/>
      <c r="K2" s="236"/>
      <c r="L2" s="236"/>
      <c r="M2" s="236"/>
      <c r="N2" s="236"/>
      <c r="O2" s="236"/>
      <c r="P2" s="237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4" t="s">
        <v>120</v>
      </c>
      <c r="L3" s="234"/>
      <c r="M3" s="234"/>
      <c r="N3" s="234"/>
      <c r="O3" s="234"/>
      <c r="P3" s="234"/>
      <c r="Q3" s="234"/>
      <c r="R3" s="234"/>
      <c r="S3" s="234"/>
    </row>
    <row r="4" spans="1:19" s="85" customFormat="1" ht="21" customHeight="1">
      <c r="A4" s="84" t="s">
        <v>121</v>
      </c>
      <c r="C4" s="233" t="str">
        <f>date</f>
        <v>2 et 3 avril 2022</v>
      </c>
      <c r="D4" s="233"/>
      <c r="E4" s="233"/>
      <c r="F4" s="233"/>
      <c r="G4" s="233"/>
      <c r="H4" s="233"/>
      <c r="I4" s="233"/>
      <c r="J4" s="233"/>
      <c r="L4" s="231" t="s">
        <v>122</v>
      </c>
      <c r="M4" s="231"/>
      <c r="N4" s="232"/>
      <c r="O4" s="235" t="str">
        <f>catégorie</f>
        <v>JUNIORS</v>
      </c>
      <c r="P4" s="236"/>
      <c r="Q4" s="236"/>
      <c r="R4" s="236"/>
      <c r="S4" s="237"/>
    </row>
    <row r="5" spans="1:24" s="82" customFormat="1" ht="18" customHeight="1">
      <c r="A5" s="86"/>
      <c r="B5" s="230" t="s">
        <v>123</v>
      </c>
      <c r="C5" s="230"/>
      <c r="D5" s="230"/>
      <c r="E5" s="238" t="str">
        <f>duréematch</f>
        <v>2*10' +2' de mi-temps +1' temps mort par  équipe +3' inter-match = 27'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49" t="s">
        <v>110</v>
      </c>
      <c r="J6" s="249"/>
      <c r="K6" s="249" t="s">
        <v>111</v>
      </c>
      <c r="L6" s="249"/>
      <c r="M6" s="69"/>
      <c r="N6" s="69"/>
      <c r="O6" s="27"/>
      <c r="P6" s="27"/>
      <c r="Q6" s="27"/>
      <c r="R6" s="27"/>
      <c r="S6" s="27"/>
      <c r="T6" s="28"/>
      <c r="U6" s="27"/>
      <c r="V6" s="249" t="s">
        <v>110</v>
      </c>
      <c r="W6" s="249"/>
      <c r="X6" s="249" t="s">
        <v>111</v>
      </c>
      <c r="Y6" s="249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201</v>
      </c>
      <c r="H7" s="68" t="s">
        <v>109</v>
      </c>
      <c r="I7" s="250"/>
      <c r="J7" s="250"/>
      <c r="K7" s="250"/>
      <c r="L7" s="250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201</v>
      </c>
      <c r="U7" s="68" t="s">
        <v>109</v>
      </c>
      <c r="V7" s="250"/>
      <c r="W7" s="250"/>
      <c r="X7" s="250"/>
      <c r="Y7" s="250"/>
    </row>
    <row r="8" spans="2:25" s="117" customFormat="1" ht="15">
      <c r="B8" s="172" t="s">
        <v>7</v>
      </c>
      <c r="C8" s="201" t="str">
        <f>pa1</f>
        <v>PESSAC</v>
      </c>
      <c r="D8" s="118">
        <f>IF(grille!G9&lt;&gt;"",grille!G9,"")</f>
      </c>
      <c r="E8" s="119"/>
      <c r="F8" s="118">
        <f>IF(grille!H17&lt;&gt;"",grille!H17,"")</f>
      </c>
      <c r="G8" s="161">
        <f>CalculPointMatchs(D8,D9,F8,F10)</f>
      </c>
      <c r="H8" s="162">
        <f>IF(AND(G8&lt;&gt;"",G9&lt;&gt;"",G10&lt;&gt;""),RANK(G8,$G$8:$G$10),"")</f>
      </c>
      <c r="I8" s="251">
        <f>SUM(D9,F10)</f>
        <v>0</v>
      </c>
      <c r="J8" s="251"/>
      <c r="K8" s="251">
        <f>SUM(D8:F8)</f>
        <v>0</v>
      </c>
      <c r="L8" s="252"/>
      <c r="M8" s="121"/>
      <c r="N8" s="122"/>
      <c r="O8" s="172" t="s">
        <v>9</v>
      </c>
      <c r="P8" s="201" t="str">
        <f>pb2</f>
        <v>FONTENAY</v>
      </c>
      <c r="Q8" s="118">
        <f>IF(grille!G10&lt;&gt;"",grille!G10,"")</f>
      </c>
      <c r="R8" s="119"/>
      <c r="S8" s="118">
        <f>IF(grille!H18&lt;&gt;"",grille!H18,"")</f>
      </c>
      <c r="T8" s="161">
        <f>CalculPointMatchs(Q8,Q9,S8,S10)</f>
      </c>
      <c r="U8" s="162">
        <f>IF(AND(T8&lt;&gt;"",T9&lt;&gt;"",T10&lt;&gt;""),RANK(T8,$T$8:$T$10),"")</f>
      </c>
      <c r="V8" s="251">
        <f>SUM(Q9,S10)</f>
        <v>0</v>
      </c>
      <c r="W8" s="251"/>
      <c r="X8" s="251">
        <f>SUM(Q8:S8)</f>
        <v>0</v>
      </c>
      <c r="Y8" s="252"/>
    </row>
    <row r="9" spans="2:25" s="117" customFormat="1" ht="15">
      <c r="B9" s="173" t="s">
        <v>8</v>
      </c>
      <c r="C9" s="202" t="str">
        <f>pa5</f>
        <v>NEUILLY</v>
      </c>
      <c r="D9" s="120">
        <f>IF(grille!H9&lt;&gt;"",grille!H9,"")</f>
      </c>
      <c r="E9" s="120">
        <f>IF(grille!G13&lt;&gt;"",grille!G13,"")</f>
      </c>
      <c r="F9" s="158"/>
      <c r="G9" s="159">
        <f>CalculPointMatchs(D9,D8,E9,E10)</f>
      </c>
      <c r="H9" s="160">
        <f>IF(AND(G8&lt;&gt;"",G9&lt;&gt;"",G10&lt;&gt;""),RANK(G9,$G$8:$G$10),"")</f>
      </c>
      <c r="I9" s="242">
        <f>SUM(D8,E10)</f>
        <v>0</v>
      </c>
      <c r="J9" s="242"/>
      <c r="K9" s="242">
        <f>SUM(D9:F9)</f>
        <v>0</v>
      </c>
      <c r="L9" s="243"/>
      <c r="M9" s="121"/>
      <c r="N9" s="122"/>
      <c r="O9" s="173" t="s">
        <v>12</v>
      </c>
      <c r="P9" s="202" t="str">
        <f>pb6</f>
        <v>COMBOURG/DINAN</v>
      </c>
      <c r="Q9" s="120">
        <f>IF(grille!H10&lt;&gt;"",grille!H10,"")</f>
      </c>
      <c r="R9" s="120">
        <f>IF(grille!G14&lt;&gt;"",grille!G14,"")</f>
      </c>
      <c r="S9" s="158"/>
      <c r="T9" s="159">
        <f>CalculPointMatchs(Q9,Q8,R9,R10)</f>
      </c>
      <c r="U9" s="160">
        <f>IF(AND(T8&lt;&gt;"",T9&lt;&gt;"",T10&lt;&gt;""),RANK(T9,$T$8:$T$10),"")</f>
      </c>
      <c r="V9" s="242">
        <f>SUM(Q8,R10)</f>
        <v>0</v>
      </c>
      <c r="W9" s="242"/>
      <c r="X9" s="242">
        <f>SUM(Q9:S9)</f>
        <v>0</v>
      </c>
      <c r="Y9" s="243"/>
    </row>
    <row r="10" spans="2:25" s="117" customFormat="1" ht="15.75" thickBot="1">
      <c r="B10" s="174" t="s">
        <v>15</v>
      </c>
      <c r="C10" s="203" t="str">
        <f>pa9</f>
        <v>HYERES</v>
      </c>
      <c r="D10" s="163"/>
      <c r="E10" s="164">
        <f>IF(grille!H13&lt;&gt;"",grille!H13,"")</f>
      </c>
      <c r="F10" s="165">
        <f>IF(grille!G17&lt;&gt;"",grille!G17,"")</f>
      </c>
      <c r="G10" s="165">
        <f>CalculPointMatchs(E10,E9,F10,F8)</f>
      </c>
      <c r="H10" s="166">
        <f>IF(AND(G8&lt;&gt;"",G9&lt;&gt;"",G10&lt;&gt;""),RANK(G10,$G$8:$G$10),"")</f>
      </c>
      <c r="I10" s="244">
        <f>SUM(E9,F8)</f>
        <v>0</v>
      </c>
      <c r="J10" s="244"/>
      <c r="K10" s="244">
        <f>SUM(D10:F10)</f>
        <v>0</v>
      </c>
      <c r="L10" s="253"/>
      <c r="M10" s="121"/>
      <c r="N10" s="122"/>
      <c r="O10" s="174" t="s">
        <v>16</v>
      </c>
      <c r="P10" s="203" t="str">
        <f>pb10</f>
        <v>LE PUY</v>
      </c>
      <c r="Q10" s="163"/>
      <c r="R10" s="164">
        <f>IF(grille!H14&lt;&gt;"",grille!H14,"")</f>
      </c>
      <c r="S10" s="165">
        <f>IF(grille!G18&lt;&gt;"",grille!G18,"")</f>
      </c>
      <c r="T10" s="165">
        <f>CalculPointMatchs(R10,R9,S10,S8)</f>
      </c>
      <c r="U10" s="166">
        <f>IF(AND(T8&lt;&gt;"",T9&lt;&gt;"",T10&lt;&gt;""),RANK(T10,$T$8:$T$10),"")</f>
      </c>
      <c r="V10" s="244">
        <f>SUM(R9,S8)</f>
        <v>0</v>
      </c>
      <c r="W10" s="244"/>
      <c r="X10" s="244">
        <f>SUM(Q10:S10)</f>
        <v>0</v>
      </c>
      <c r="Y10" s="253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">
      <c r="B12" s="122"/>
      <c r="C12" s="122"/>
      <c r="D12" s="125"/>
      <c r="E12" s="126"/>
      <c r="F12" s="127"/>
      <c r="G12" s="128"/>
      <c r="H12" s="129"/>
      <c r="I12" s="249" t="s">
        <v>110</v>
      </c>
      <c r="J12" s="249"/>
      <c r="K12" s="249" t="s">
        <v>111</v>
      </c>
      <c r="L12" s="249"/>
      <c r="M12" s="125"/>
      <c r="N12" s="122"/>
      <c r="O12" s="122"/>
      <c r="P12" s="122"/>
      <c r="Q12" s="125"/>
      <c r="R12" s="125"/>
      <c r="S12" s="125"/>
      <c r="T12" s="128"/>
      <c r="U12" s="129"/>
      <c r="V12" s="249" t="s">
        <v>110</v>
      </c>
      <c r="W12" s="249"/>
      <c r="X12" s="249" t="s">
        <v>111</v>
      </c>
      <c r="Y12" s="249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201</v>
      </c>
      <c r="H13" s="68" t="s">
        <v>109</v>
      </c>
      <c r="I13" s="250"/>
      <c r="J13" s="250"/>
      <c r="K13" s="250"/>
      <c r="L13" s="250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201</v>
      </c>
      <c r="U13" s="68" t="s">
        <v>109</v>
      </c>
      <c r="V13" s="250"/>
      <c r="W13" s="250"/>
      <c r="X13" s="250"/>
      <c r="Y13" s="250"/>
    </row>
    <row r="14" spans="2:25" s="117" customFormat="1" ht="15">
      <c r="B14" s="172" t="s">
        <v>10</v>
      </c>
      <c r="C14" s="201" t="str">
        <f>pc3</f>
        <v>RENNES/PONTIVY</v>
      </c>
      <c r="D14" s="118">
        <f>IF(grille!G11&lt;&gt;"",grille!G11,"")</f>
      </c>
      <c r="E14" s="119"/>
      <c r="F14" s="118">
        <f>IF(grille!H19&lt;&gt;"",grille!H19,"")</f>
      </c>
      <c r="G14" s="161">
        <f>CalculPointMatchs(D14,D15,F14,F16)</f>
      </c>
      <c r="H14" s="162">
        <f>IF(AND(G14&lt;&gt;"",G15&lt;&gt;"",G16&lt;&gt;""),RANK(G14,$G$14:$G$16),"")</f>
      </c>
      <c r="I14" s="251">
        <f>SUM(D15,F16)</f>
        <v>0</v>
      </c>
      <c r="J14" s="251"/>
      <c r="K14" s="251">
        <f>SUM(D14:F14)</f>
        <v>0</v>
      </c>
      <c r="L14" s="252"/>
      <c r="M14" s="121"/>
      <c r="N14" s="122"/>
      <c r="O14" s="172" t="s">
        <v>11</v>
      </c>
      <c r="P14" s="201" t="str">
        <f>pd4</f>
        <v>PONTOISE</v>
      </c>
      <c r="Q14" s="118">
        <f>IF(grille!G12&lt;&gt;"",grille!G12,"")</f>
      </c>
      <c r="R14" s="119"/>
      <c r="S14" s="118">
        <f>IF(grille!H20&lt;&gt;"",grille!H20,"")</f>
      </c>
      <c r="T14" s="161">
        <f>CalculPointMatchs(Q14,Q15,S14,S16)</f>
      </c>
      <c r="U14" s="162">
        <f>IF(AND(T14&lt;&gt;"",T15&lt;&gt;"",T16&lt;&gt;""),RANK(T14,$T$14:$T$16),"")</f>
      </c>
      <c r="V14" s="251">
        <f>SUM(Q15,S16)</f>
        <v>0</v>
      </c>
      <c r="W14" s="251"/>
      <c r="X14" s="251">
        <f>SUM(Q14:S14)</f>
        <v>0</v>
      </c>
      <c r="Y14" s="252"/>
    </row>
    <row r="15" spans="2:25" s="117" customFormat="1" ht="15">
      <c r="B15" s="173" t="s">
        <v>13</v>
      </c>
      <c r="C15" s="202" t="str">
        <f>pc7</f>
        <v>LAGNY</v>
      </c>
      <c r="D15" s="120">
        <f>IF(grille!H11&lt;&gt;"",grille!H11,"")</f>
      </c>
      <c r="E15" s="120">
        <f>IF(grille!G15&lt;&gt;"",grille!G15,"")</f>
      </c>
      <c r="F15" s="158"/>
      <c r="G15" s="159">
        <f>CalculPointMatchs(D15,D14,E15,E16)</f>
      </c>
      <c r="H15" s="160">
        <f>IF(AND(G14&lt;&gt;"",G15&lt;&gt;"",G16&lt;&gt;""),RANK(G15,$G$14:$G$16),"")</f>
      </c>
      <c r="I15" s="242">
        <f>SUM(D14,E16)</f>
        <v>0</v>
      </c>
      <c r="J15" s="242"/>
      <c r="K15" s="242">
        <f>SUM(D15:F15)</f>
        <v>0</v>
      </c>
      <c r="L15" s="243"/>
      <c r="M15" s="121"/>
      <c r="N15" s="122"/>
      <c r="O15" s="173" t="s">
        <v>14</v>
      </c>
      <c r="P15" s="202" t="str">
        <f>pd8</f>
        <v>LA ROCHELLE/LILLE</v>
      </c>
      <c r="Q15" s="120">
        <f>IF(grille!H12&lt;&gt;"",grille!H12,"")</f>
      </c>
      <c r="R15" s="120">
        <f>IF(grille!G16&lt;&gt;"",grille!G16,"")</f>
      </c>
      <c r="S15" s="158"/>
      <c r="T15" s="159">
        <f>CalculPointMatchs(Q15,Q14,R15,R16)</f>
      </c>
      <c r="U15" s="160">
        <f>IF(AND(T14&lt;&gt;"",T15&lt;&gt;"",T16&lt;&gt;""),RANK(T15,$T$14:$T$16),"")</f>
      </c>
      <c r="V15" s="242">
        <f>SUM(Q14,R16)</f>
        <v>0</v>
      </c>
      <c r="W15" s="242"/>
      <c r="X15" s="242">
        <f>SUM(Q15:S15)</f>
        <v>0</v>
      </c>
      <c r="Y15" s="243"/>
    </row>
    <row r="16" spans="2:25" s="117" customFormat="1" ht="15.75" thickBot="1">
      <c r="B16" s="174" t="s">
        <v>17</v>
      </c>
      <c r="C16" s="203" t="str">
        <f>pc11</f>
        <v>Equipe 12</v>
      </c>
      <c r="D16" s="163"/>
      <c r="E16" s="164">
        <f>IF(grille!H15&lt;&gt;"",grille!H15,"")</f>
      </c>
      <c r="F16" s="165">
        <f>IF(grille!G19&lt;&gt;"",grille!G19,"")</f>
      </c>
      <c r="G16" s="165">
        <f>CalculPointMatchs(E16,E15,F16,F14)</f>
      </c>
      <c r="H16" s="166">
        <f>IF(AND(G14&lt;&gt;"",G15&lt;&gt;"",G16&lt;&gt;""),RANK(G16,$G$14:$G$16),"")</f>
      </c>
      <c r="I16" s="244">
        <f>SUM(E15,F14)</f>
        <v>0</v>
      </c>
      <c r="J16" s="244"/>
      <c r="K16" s="244">
        <f>SUM(D16:F16)</f>
        <v>0</v>
      </c>
      <c r="L16" s="253"/>
      <c r="M16" s="121"/>
      <c r="N16" s="122"/>
      <c r="O16" s="174" t="s">
        <v>18</v>
      </c>
      <c r="P16" s="203" t="str">
        <f>pd12</f>
        <v>MULHOUSE/SEDAN</v>
      </c>
      <c r="Q16" s="163"/>
      <c r="R16" s="164">
        <f>IF(grille!H16&lt;&gt;"",grille!H16,"")</f>
      </c>
      <c r="S16" s="165">
        <f>IF(grille!G20&lt;&gt;"",grille!G20,"")</f>
      </c>
      <c r="T16" s="165">
        <f>CalculPointMatchs(R16,R15,S16,S14)</f>
      </c>
      <c r="U16" s="166">
        <f>IF(AND(T14&lt;&gt;"",T15&lt;&gt;"",T16&lt;&gt;""),RANK(T16,$T$14:$T$16),"")</f>
      </c>
      <c r="V16" s="244">
        <f>SUM(R15,S14)</f>
        <v>0</v>
      </c>
      <c r="W16" s="244"/>
      <c r="X16" s="244">
        <f>SUM(Q16:S16)</f>
        <v>0</v>
      </c>
      <c r="Y16" s="253"/>
    </row>
    <row r="17" spans="2:25" s="117" customFormat="1" ht="18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55" t="s">
        <v>110</v>
      </c>
      <c r="M18" s="256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55" t="s">
        <v>110</v>
      </c>
      <c r="Z18" s="256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201</v>
      </c>
      <c r="K19" s="68" t="s">
        <v>109</v>
      </c>
      <c r="L19" s="255"/>
      <c r="M19" s="255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201</v>
      </c>
      <c r="X19" s="68" t="s">
        <v>109</v>
      </c>
      <c r="Y19" s="255"/>
      <c r="Z19" s="255"/>
    </row>
    <row r="20" spans="2:26" ht="15">
      <c r="B20" s="175" t="s">
        <v>19</v>
      </c>
      <c r="C20" s="176">
        <f>_xlfn.IFERROR(INDEX(C8:C10,MATCH(1,H8:H10,0)),"")</f>
      </c>
      <c r="D20" s="188"/>
      <c r="E20" s="189"/>
      <c r="F20" s="24">
        <f>IF(grille!G21&lt;&gt;"",grille!G21,"")</f>
      </c>
      <c r="G20" s="105"/>
      <c r="H20" s="24">
        <f>IF(grille!H25&lt;&gt;"",grille!H25,"")</f>
      </c>
      <c r="I20" s="105"/>
      <c r="J20" s="24">
        <f>CalculPointMatchs(D20,D21,F20,F22,H20,H23)</f>
      </c>
      <c r="K20" s="169">
        <f>IF(AND(J20&lt;&gt;"",J21&lt;&gt;"",J22&lt;&gt;"",J23&lt;&gt;""),RANK(J20,J$20:J$23),"")</f>
      </c>
      <c r="L20" s="177">
        <f>SUM(D21,F22,H23)</f>
        <v>0</v>
      </c>
      <c r="M20" s="178">
        <f>SUM(D20:I20)</f>
        <v>0</v>
      </c>
      <c r="O20" s="175" t="s">
        <v>21</v>
      </c>
      <c r="P20" s="176">
        <f>_xlfn.IFERROR(INDEX(C14:C16,MATCH(1,H14:H16,0)),"")</f>
      </c>
      <c r="Q20" s="188"/>
      <c r="R20" s="189"/>
      <c r="S20" s="24">
        <f>IF(grille!G23&lt;&gt;"",grille!G23,"")</f>
      </c>
      <c r="T20" s="105"/>
      <c r="U20" s="24">
        <f>IF(grille!H27&lt;&gt;"",grille!H27,"")</f>
      </c>
      <c r="V20" s="105"/>
      <c r="W20" s="24">
        <f>CalculPointMatchs(Q20,Q21,S20,S22,U20,U23)</f>
      </c>
      <c r="X20" s="169">
        <f>IF(AND(W20&lt;&gt;"",W21&lt;&gt;"",W22&lt;&gt;"",W23&lt;&gt;""),RANK(W20,W$20:W$23),"")</f>
      </c>
      <c r="Y20" s="177">
        <f>SUM(Q21,S22,U23)</f>
        <v>0</v>
      </c>
      <c r="Z20" s="178">
        <f>SUM(Q20:V20)</f>
        <v>0</v>
      </c>
    </row>
    <row r="21" spans="2:26" ht="15">
      <c r="B21" s="179" t="s">
        <v>20</v>
      </c>
      <c r="C21" s="25">
        <f>_xlfn.IFERROR(INDEX(C8:C10,MATCH(2,H8:H10,0)),"")</f>
      </c>
      <c r="D21" s="190"/>
      <c r="E21" s="191"/>
      <c r="F21" s="167"/>
      <c r="G21" s="25">
        <f>IF(grille!G22&lt;&gt;"",grille!G22,"")</f>
      </c>
      <c r="H21" s="167"/>
      <c r="I21" s="25">
        <f>IF(grille!H26&lt;&gt;"",grille!H26,"")</f>
      </c>
      <c r="J21" s="25">
        <f>CalculPointMatchs(D21,D20,G21,G23,I21,I22)</f>
      </c>
      <c r="K21" s="168">
        <f>IF(AND(J20&lt;&gt;"",J21&lt;&gt;"",J22&lt;&gt;"",J23&lt;&gt;""),RANK(J21,J$20:J$23),"")</f>
      </c>
      <c r="L21" s="180">
        <f>SUM(D20,G23,I22)</f>
        <v>0</v>
      </c>
      <c r="M21" s="181">
        <f>SUM(D21:I21)</f>
        <v>0</v>
      </c>
      <c r="O21" s="179" t="s">
        <v>22</v>
      </c>
      <c r="P21" s="30">
        <f>_xlfn.IFERROR(INDEX(C14:C16,MATCH(2,H14:H16,0)),"")</f>
      </c>
      <c r="Q21" s="190"/>
      <c r="R21" s="191"/>
      <c r="S21" s="167"/>
      <c r="T21" s="25">
        <f>IF(grille!G24&lt;&gt;"",grille!G24,"")</f>
      </c>
      <c r="U21" s="167"/>
      <c r="V21" s="25">
        <f>IF(grille!H28&lt;&gt;"",grille!H28,"")</f>
      </c>
      <c r="W21" s="25">
        <f>CalculPointMatchs(Q21,Q20,T21,T23,V21,V22)</f>
      </c>
      <c r="X21" s="168">
        <f>IF(AND(W20&lt;&gt;"",W21&lt;&gt;"",W22&lt;&gt;"",W23&lt;&gt;""),RANK(W21,W$20:W$23),"")</f>
      </c>
      <c r="Y21" s="180">
        <f>SUM(Q20,T23,V22)</f>
        <v>0</v>
      </c>
      <c r="Z21" s="181">
        <f>SUM(Q21:V21)</f>
        <v>0</v>
      </c>
    </row>
    <row r="22" spans="2:26" ht="15">
      <c r="B22" s="179" t="s">
        <v>24</v>
      </c>
      <c r="C22" s="30">
        <f>_xlfn.IFERROR(INDEX(P8:P10,MATCH(1,U8:U10,0)),"")</f>
      </c>
      <c r="D22" s="191"/>
      <c r="E22" s="190"/>
      <c r="F22" s="25">
        <f>IF(grille!H21&lt;&gt;"",grille!H21,"")</f>
      </c>
      <c r="G22" s="167"/>
      <c r="H22" s="167"/>
      <c r="I22" s="25">
        <f>IF(grille!G26&lt;&gt;"",grille!G26,"")</f>
      </c>
      <c r="J22" s="25">
        <f>CalculPointMatchs(E22,E23,F22,F20,I22,I21)</f>
      </c>
      <c r="K22" s="168">
        <f>IF(AND(J20&lt;&gt;"",J21&lt;&gt;"",J22&lt;&gt;"",J23&lt;&gt;""),RANK(J22,J$20:J$23),"")</f>
      </c>
      <c r="L22" s="180">
        <f>SUM(E23,F20,I21)</f>
        <v>0</v>
      </c>
      <c r="M22" s="181">
        <f>SUM(D22:I22)</f>
        <v>0</v>
      </c>
      <c r="O22" s="179" t="s">
        <v>26</v>
      </c>
      <c r="P22" s="30">
        <f>_xlfn.IFERROR(INDEX(P14:P16,MATCH(1,U14:U16,0)),"")</f>
      </c>
      <c r="Q22" s="191"/>
      <c r="R22" s="190"/>
      <c r="S22" s="25">
        <f>IF(grille!H23&lt;&gt;"",grille!H23,"")</f>
      </c>
      <c r="T22" s="167"/>
      <c r="U22" s="167"/>
      <c r="V22" s="25">
        <f>IF(grille!G28&lt;&gt;"",grille!G28,"")</f>
      </c>
      <c r="W22" s="25">
        <f>CalculPointMatchs(R22,R23,S22,S20,V22,V21)</f>
      </c>
      <c r="X22" s="168">
        <f>IF(AND(W20&lt;&gt;"",W21&lt;&gt;"",W22&lt;&gt;"",W23&lt;&gt;""),RANK(W22,W$20:W$23),"")</f>
      </c>
      <c r="Y22" s="180">
        <f>SUM(R23,S20,V21)</f>
        <v>0</v>
      </c>
      <c r="Z22" s="181">
        <f>SUM(Q22:V22)</f>
        <v>0</v>
      </c>
    </row>
    <row r="23" spans="2:26" ht="15.75" thickBot="1">
      <c r="B23" s="182" t="s">
        <v>23</v>
      </c>
      <c r="C23" s="32">
        <f>_xlfn.IFERROR(INDEX(P8:P10,MATCH(2,U8:U10,0)),"")</f>
      </c>
      <c r="D23" s="192"/>
      <c r="E23" s="193"/>
      <c r="F23" s="170"/>
      <c r="G23" s="26">
        <f>IF(grille!H22&lt;&gt;"",grille!H22,"")</f>
      </c>
      <c r="H23" s="26">
        <f>IF(grille!G25&lt;&gt;"",grille!G25,"")</f>
      </c>
      <c r="I23" s="170"/>
      <c r="J23" s="26">
        <f>CalculPointMatchs(E23,E22,G23,G21,H23,H20)</f>
      </c>
      <c r="K23" s="171">
        <f>IF(AND(J20&lt;&gt;"",J21&lt;&gt;"",J22&lt;&gt;"",J23&lt;&gt;""),RANK(J23,J$20:J$23),"")</f>
      </c>
      <c r="L23" s="183">
        <f>SUM(E22,G21,H20)</f>
        <v>0</v>
      </c>
      <c r="M23" s="184">
        <f>SUM(D23:I23)</f>
        <v>0</v>
      </c>
      <c r="O23" s="182" t="s">
        <v>25</v>
      </c>
      <c r="P23" s="32">
        <f>_xlfn.IFERROR(INDEX(P14:P16,MATCH(2,U14:U16,0)),"")</f>
      </c>
      <c r="Q23" s="192"/>
      <c r="R23" s="193"/>
      <c r="S23" s="170"/>
      <c r="T23" s="26">
        <f>IF(grille!H24&lt;&gt;"",grille!H24,"")</f>
      </c>
      <c r="U23" s="26">
        <f>IF(grille!G27&lt;&gt;"",grille!G27,"")</f>
      </c>
      <c r="V23" s="170"/>
      <c r="W23" s="26">
        <f>CalculPointMatchs(R23,R22,T23,T21,U23,U20)</f>
      </c>
      <c r="X23" s="171">
        <f>IF(AND(W20&lt;&gt;"",W21&lt;&gt;"",W22&lt;&gt;"",W23&lt;&gt;""),RANK(W23,W$20:W$23),"")</f>
      </c>
      <c r="Y23" s="183">
        <f>SUM(R22,T21,U20)</f>
        <v>0</v>
      </c>
      <c r="Z23" s="184">
        <f>SUM(Q23:V23)</f>
        <v>0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49" t="s">
        <v>110</v>
      </c>
      <c r="J25" s="249"/>
      <c r="K25" s="249" t="s">
        <v>111</v>
      </c>
      <c r="L25" s="249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55" t="s">
        <v>110</v>
      </c>
      <c r="Z25" s="256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201</v>
      </c>
      <c r="H26" s="68" t="s">
        <v>109</v>
      </c>
      <c r="I26" s="250"/>
      <c r="J26" s="250"/>
      <c r="K26" s="250"/>
      <c r="L26" s="250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201</v>
      </c>
      <c r="X26" s="68" t="s">
        <v>109</v>
      </c>
      <c r="Y26" s="255"/>
      <c r="Z26" s="255"/>
    </row>
    <row r="27" spans="2:26" ht="15">
      <c r="B27" s="175" t="s">
        <v>33</v>
      </c>
      <c r="C27" s="176">
        <f>_xlfn.IFERROR(INDEX(C20:C23,MATCH(4,K20:K23,0)),"")</f>
      </c>
      <c r="D27" s="105"/>
      <c r="E27" s="24">
        <f>IF(grille!G36&lt;&gt;"",grille!G36,"")</f>
      </c>
      <c r="F27" s="24">
        <f>IF(grille!H40&lt;&gt;"",grille!H40,"")</f>
      </c>
      <c r="G27" s="161">
        <f>CalculPointMatchs(E27,E28,F27,F29)</f>
      </c>
      <c r="H27" s="162">
        <f>IF(AND(G27&lt;&gt;"",G28&lt;&gt;"",G29&lt;&gt;""),RANK(G27,$G$27:$G$29),"")</f>
      </c>
      <c r="I27" s="251">
        <f>SUM(E28,F29)</f>
        <v>0</v>
      </c>
      <c r="J27" s="251"/>
      <c r="K27" s="251">
        <f>SUM(D27:F27)</f>
        <v>0</v>
      </c>
      <c r="L27" s="252"/>
      <c r="N27" s="18"/>
      <c r="O27" s="175" t="s">
        <v>31</v>
      </c>
      <c r="P27" s="176">
        <f>_xlfn.IFERROR(INDEX(C20:C23,MATCH(2,K20:K23,0)),"")</f>
      </c>
      <c r="Q27" s="188"/>
      <c r="R27" s="189"/>
      <c r="S27" s="24">
        <f>IF(grille!G34&lt;&gt;"",grille!G34,"")</f>
      </c>
      <c r="T27" s="105"/>
      <c r="U27" s="24">
        <f>IF(grille!H38&lt;&gt;"",grille!H38,"")</f>
      </c>
      <c r="V27" s="105"/>
      <c r="W27" s="24">
        <f>CalculPointMatchs(Q27,Q28,S27,S29,U27,U30)</f>
      </c>
      <c r="X27" s="169">
        <f>IF(AND(W27&lt;&gt;"",W28&lt;&gt;"",W29&lt;&gt;"",W30&lt;&gt;""),RANK(W27,W$27:W$30),"")</f>
      </c>
      <c r="Y27" s="177">
        <f>SUM(Q28,S29,U30)</f>
        <v>0</v>
      </c>
      <c r="Z27" s="178">
        <f>SUM(Q27:V27)</f>
        <v>0</v>
      </c>
    </row>
    <row r="28" spans="2:26" ht="15">
      <c r="B28" s="179" t="s">
        <v>27</v>
      </c>
      <c r="C28" s="30">
        <f>_xlfn.IFERROR(INDEX(C14:C16,MATCH(3,H14:H16,0)),"")</f>
      </c>
      <c r="D28" s="30">
        <f>IF(grille!G29&lt;&gt;"",grille!G29,"")</f>
      </c>
      <c r="E28" s="25">
        <f>IF(grille!H36&lt;&gt;"",grille!H36,"")</f>
      </c>
      <c r="F28" s="167"/>
      <c r="G28" s="159">
        <f>CalculPointMatchs(D28,D29,E28,E27)</f>
      </c>
      <c r="H28" s="160">
        <f>IF(AND(G27&lt;&gt;"",G28&lt;&gt;"",G29&lt;&gt;""),RANK(G28,$G$27:$G$29),"")</f>
      </c>
      <c r="I28" s="242">
        <f>SUM(D29,E27)</f>
        <v>0</v>
      </c>
      <c r="J28" s="242"/>
      <c r="K28" s="242">
        <f>SUM(D28:F28)</f>
        <v>0</v>
      </c>
      <c r="L28" s="243"/>
      <c r="N28" s="18"/>
      <c r="O28" s="179" t="s">
        <v>32</v>
      </c>
      <c r="P28" s="30">
        <f>_xlfn.IFERROR(INDEX(C20:C23,MATCH(3,K20:K23,0)),"")</f>
      </c>
      <c r="Q28" s="190"/>
      <c r="R28" s="191"/>
      <c r="S28" s="167"/>
      <c r="T28" s="25">
        <f>IF(grille!G35&lt;&gt;"",grille!G35,"")</f>
      </c>
      <c r="U28" s="167"/>
      <c r="V28" s="25">
        <f>IF(grille!H39&lt;&gt;"",grille!H39,"")</f>
      </c>
      <c r="W28" s="25">
        <f>CalculPointMatchs(Q28,Q27,T28,T30,V28,V29)</f>
      </c>
      <c r="X28" s="168">
        <f>IF(AND(W27&lt;&gt;"",W28&lt;&gt;"",W29&lt;&gt;"",W30&lt;&gt;""),RANK(W28,W$27:W$30),"")</f>
      </c>
      <c r="Y28" s="180">
        <f>SUM(Q27,T30,V29)</f>
        <v>0</v>
      </c>
      <c r="Z28" s="181">
        <f>SUM(Q28:V28)</f>
        <v>0</v>
      </c>
    </row>
    <row r="29" spans="2:26" ht="15.75" thickBot="1">
      <c r="B29" s="182" t="s">
        <v>28</v>
      </c>
      <c r="C29" s="32">
        <f>_xlfn.IFERROR(INDEX(P14:P16,MATCH(3,U14:U16,0)),"")</f>
      </c>
      <c r="D29" s="32">
        <f>IF(grille!H29&lt;&gt;"",grille!H29,"")</f>
      </c>
      <c r="E29" s="170"/>
      <c r="F29" s="26">
        <f>IF(grille!G40&lt;&gt;"",grille!G40,"")</f>
      </c>
      <c r="G29" s="165">
        <f>CalculPointMatchs(D29,D28,F29,F27)</f>
      </c>
      <c r="H29" s="166">
        <f>IF(AND(G27&lt;&gt;"",G28&lt;&gt;"",G29&lt;&gt;""),RANK(G29,$G$27:$G$29),"")</f>
      </c>
      <c r="I29" s="244">
        <f>SUM(D28,F27)</f>
        <v>0</v>
      </c>
      <c r="J29" s="244"/>
      <c r="K29" s="244">
        <f>SUM(D29:F29)</f>
        <v>0</v>
      </c>
      <c r="L29" s="253"/>
      <c r="N29" s="18"/>
      <c r="O29" s="179" t="s">
        <v>36</v>
      </c>
      <c r="P29" s="30">
        <f>_xlfn.IFERROR(INDEX(P20:P23,MATCH(2,X20:X23,0)),"")</f>
      </c>
      <c r="Q29" s="191"/>
      <c r="R29" s="190"/>
      <c r="S29" s="25">
        <f>IF(grille!H34&lt;&gt;"",grille!H34,"")</f>
      </c>
      <c r="T29" s="167"/>
      <c r="U29" s="167"/>
      <c r="V29" s="25">
        <f>IF(grille!G39&lt;&gt;"",grille!G39,"")</f>
      </c>
      <c r="W29" s="25">
        <f>CalculPointMatchs(R29,R30,S29,S27,V29,V28)</f>
      </c>
      <c r="X29" s="168">
        <f>IF(AND(W27&lt;&gt;"",W28&lt;&gt;"",W29&lt;&gt;"",W30&lt;&gt;""),RANK(W29,W$27:W$30),"")</f>
      </c>
      <c r="Y29" s="180">
        <f>SUM(R30,S27,V28)</f>
        <v>0</v>
      </c>
      <c r="Z29" s="181">
        <f>SUM(Q29:V29)</f>
        <v>0</v>
      </c>
    </row>
    <row r="30" spans="2:26" ht="15.75" thickBot="1">
      <c r="B30" s="18"/>
      <c r="C30" s="18"/>
      <c r="D30" s="31"/>
      <c r="E30" s="31"/>
      <c r="F30" s="19"/>
      <c r="G30" s="19"/>
      <c r="H30" s="31"/>
      <c r="I30" s="256" t="s">
        <v>110</v>
      </c>
      <c r="J30" s="256"/>
      <c r="K30" s="256" t="s">
        <v>111</v>
      </c>
      <c r="L30" s="256"/>
      <c r="M30" s="31"/>
      <c r="N30" s="18"/>
      <c r="O30" s="182" t="s">
        <v>35</v>
      </c>
      <c r="P30" s="32">
        <f>_xlfn.IFERROR(INDEX(P20:P23,MATCH(3,X20:X23,0)),"")</f>
      </c>
      <c r="Q30" s="192"/>
      <c r="R30" s="193"/>
      <c r="S30" s="170"/>
      <c r="T30" s="26">
        <f>IF(grille!H35&lt;&gt;"",grille!H35,"")</f>
      </c>
      <c r="U30" s="26">
        <f>IF(grille!G38&lt;&gt;"",grille!G38,"")</f>
      </c>
      <c r="V30" s="170"/>
      <c r="W30" s="26">
        <f>CalculPointMatchs(R30,R29,T30,T28,U30,U27)</f>
      </c>
      <c r="X30" s="171">
        <f>IF(AND(W27&lt;&gt;"",W28&lt;&gt;"",W29&lt;&gt;"",W30&lt;&gt;""),RANK(W30,W$27:W$30),"")</f>
      </c>
      <c r="Y30" s="183">
        <f>SUM(R29,T28,U27)</f>
        <v>0</v>
      </c>
      <c r="Z30" s="184">
        <f>SUM(Q30:V30)</f>
        <v>0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201</v>
      </c>
      <c r="H31" s="68" t="s">
        <v>109</v>
      </c>
      <c r="I31" s="255"/>
      <c r="J31" s="255"/>
      <c r="K31" s="255"/>
      <c r="L31" s="255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5.75" thickBot="1">
      <c r="B32" s="175" t="s">
        <v>34</v>
      </c>
      <c r="C32" s="176">
        <f>_xlfn.IFERROR(INDEX(P20:P23,MATCH(4,X20:X23,0)),"")</f>
      </c>
      <c r="D32" s="105"/>
      <c r="E32" s="24">
        <f>IF(grille!G37&lt;&gt;"",grille!G37,"")</f>
      </c>
      <c r="F32" s="24">
        <f>IF(grille!H41&lt;&gt;"",grille!H41,"")</f>
      </c>
      <c r="G32" s="161">
        <f>CalculPointMatchs(E32,E33,F32,F34)</f>
      </c>
      <c r="H32" s="162">
        <f>IF(AND(G32&lt;&gt;"",G33&lt;&gt;"",G34&lt;&gt;""),RANK(G32,$G$32:$G$34),"")</f>
      </c>
      <c r="I32" s="251">
        <f>SUM(E33,F34)</f>
        <v>0</v>
      </c>
      <c r="J32" s="251"/>
      <c r="K32" s="251">
        <f>SUM(D32:F32)</f>
        <v>0</v>
      </c>
      <c r="L32" s="25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9" t="s">
        <v>29</v>
      </c>
      <c r="C33" s="30">
        <f>_xlfn.IFERROR(INDEX(C8:C10,MATCH(3,H8:H10,0)),"")</f>
      </c>
      <c r="D33" s="30">
        <f>IF(grille!G30&lt;&gt;"",grille!G30,"")</f>
      </c>
      <c r="E33" s="25">
        <f>IF(grille!H37&lt;&gt;"",grille!H37,"")</f>
      </c>
      <c r="F33" s="167"/>
      <c r="G33" s="159">
        <f>CalculPointMatchs(D33,D34,E33,E32)</f>
      </c>
      <c r="H33" s="160">
        <f>IF(AND(G32&lt;&gt;"",G33&lt;&gt;"",G34&lt;&gt;""),RANK(G33,$G$32:$G$34),"")</f>
      </c>
      <c r="I33" s="242">
        <f>SUM(D34,E32)</f>
        <v>0</v>
      </c>
      <c r="J33" s="242"/>
      <c r="K33" s="242">
        <f>SUM(D33:F33)</f>
        <v>0</v>
      </c>
      <c r="L33" s="243"/>
      <c r="M33" s="31"/>
      <c r="N33" s="18"/>
      <c r="O33" s="20" t="s">
        <v>37</v>
      </c>
      <c r="P33" s="194">
        <f>_xlfn.IFERROR(INDEX(C20:C23,MATCH(1,K20:K23,0)),"")</f>
      </c>
      <c r="Q33" s="40">
        <f>IF(grille!G42&lt;&gt;"",grille!G42,"")</f>
      </c>
      <c r="R33" s="22"/>
      <c r="S33" s="20" t="s">
        <v>38</v>
      </c>
      <c r="T33" s="239">
        <f>_xlfn.IFERROR(INDEX(P20:P23,MATCH(1,X20:X23,0)),"")</f>
      </c>
      <c r="U33" s="240">
        <f aca="true" t="shared" si="0" ref="U33:W34">IF(AA$20=2,y1c,IF(AA$21=2,y2c,IF(AA$22=2,y1d,IF(AA$23=2,y2d,""))))</f>
      </c>
      <c r="V33" s="240">
        <f t="shared" si="0"/>
      </c>
      <c r="W33" s="241">
        <f t="shared" si="0"/>
      </c>
      <c r="X33" s="40">
        <f>IF(grille!G43&lt;&gt;"",grille!G43,"")</f>
      </c>
    </row>
    <row r="34" spans="2:24" ht="15.75" thickBot="1">
      <c r="B34" s="182" t="s">
        <v>30</v>
      </c>
      <c r="C34" s="32">
        <f>_xlfn.IFERROR(INDEX(P8:P10,MATCH(3,U8:U10,0)),"")</f>
      </c>
      <c r="D34" s="32">
        <f>IF(grille!H30&lt;&gt;"",grille!H30,"")</f>
      </c>
      <c r="E34" s="170"/>
      <c r="F34" s="26">
        <f>IF(grille!G41&lt;&gt;"",grille!G41,"")</f>
      </c>
      <c r="G34" s="165">
        <f>CalculPointMatchs(D34,D33,F34,F32)</f>
      </c>
      <c r="H34" s="166">
        <f>IF(AND(G32&lt;&gt;"",G33&lt;&gt;"",G34&lt;&gt;""),RANK(G34,$G$32:$G$34),"")</f>
      </c>
      <c r="I34" s="244">
        <f>SUM(D33,F32)</f>
        <v>0</v>
      </c>
      <c r="J34" s="244"/>
      <c r="K34" s="244">
        <f>SUM(D34:F34)</f>
        <v>0</v>
      </c>
      <c r="L34" s="253"/>
      <c r="M34" s="31"/>
      <c r="N34" s="18"/>
      <c r="O34" s="23" t="s">
        <v>49</v>
      </c>
      <c r="P34" s="195">
        <f>_xlfn.IFERROR(INDEX(P27:P30,MATCH(2,X27:X30,0)),"")</f>
      </c>
      <c r="Q34" s="41">
        <f>IF(grille!H42&lt;&gt;"",grille!H42,"")</f>
      </c>
      <c r="R34" s="22"/>
      <c r="S34" s="131" t="s">
        <v>48</v>
      </c>
      <c r="T34" s="245">
        <f>_xlfn.IFERROR(INDEX(P27:P30,MATCH(1,X27:X30,0)),"")</f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</c>
    </row>
    <row r="35" spans="2:24" ht="1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4">
        <f>_xlfn.IFERROR(INDEX(C27:C29,MATCH(2,H27:H29,0)),"")</f>
      </c>
      <c r="D37" s="40">
        <f>IF(grille!G45&lt;&gt;"",grille!G45,"")</f>
      </c>
      <c r="E37" s="22"/>
      <c r="F37" s="20" t="s">
        <v>39</v>
      </c>
      <c r="G37" s="239">
        <f>_xlfn.IFERROR(INDEX(C27:C29,MATCH(3,H27:H29,0)),"")</f>
      </c>
      <c r="H37" s="240">
        <f>IF(M27=2,e4x,IF(M28=2,e3c,IF(M29=2,e3d,"")))</f>
      </c>
      <c r="I37" s="240">
        <f>IF(N27=2,e4x,IF(N28=2,e3c,IF(N29=2,e3d,"")))</f>
      </c>
      <c r="J37" s="241">
        <f>IF(O27=2,e4x,IF(O28=2,e3c,IF(O29=2,e3d,"")))</f>
      </c>
      <c r="K37" s="21">
        <f>IF(grille!G44&lt;&gt;"",grille!G44,"")</f>
      </c>
      <c r="L37" s="18"/>
      <c r="M37" s="18"/>
      <c r="N37" s="18"/>
      <c r="O37" s="20" t="s">
        <v>42</v>
      </c>
      <c r="P37" s="194">
        <f>_xlfn.IFERROR(INDEX(P27:P30,MATCH(3,X27:X30,0)),"")</f>
      </c>
      <c r="Q37" s="40">
        <f>IF(grille!G47&lt;&gt;"",grille!G47,"")</f>
      </c>
      <c r="R37" s="22"/>
      <c r="S37" s="20" t="s">
        <v>41</v>
      </c>
      <c r="T37" s="239">
        <f>_xlfn.IFERROR(INDEX(P27:P30,MATCH(4,X27:X30,0)),"")</f>
      </c>
      <c r="U37" s="240">
        <f>IF(AB$27=2,g2x,IF(AB$28=2,g3x,IF(AB$29=2,g2y,IF(AB$30=2,g3y,""))))</f>
      </c>
      <c r="V37" s="240">
        <f>IF(AC$27=2,g2x,IF(AC$28=2,g3x,IF(AC$29=2,g2y,IF(AC$30=2,g3y,""))))</f>
      </c>
      <c r="W37" s="241">
        <f>IF(AD$27=2,g2x,IF(AD$28=2,g3x,IF(AD$29=2,g2y,IF(AD$30=2,g3y,""))))</f>
      </c>
      <c r="X37" s="40">
        <f>IF(grille!G46&lt;&gt;"",grille!G46,"")</f>
      </c>
    </row>
    <row r="38" spans="2:24" ht="15.75" thickBot="1">
      <c r="B38" s="23" t="s">
        <v>67</v>
      </c>
      <c r="C38" s="195">
        <f>_xlfn.IFERROR(INDEX(C32:C34,MATCH(3,H32:H34,0)),"")</f>
      </c>
      <c r="D38" s="41">
        <f>IF(grille!H45&lt;&gt;"",grille!H45,"")</f>
      </c>
      <c r="E38" s="22"/>
      <c r="F38" s="23" t="s">
        <v>77</v>
      </c>
      <c r="G38" s="245">
        <f>_xlfn.IFERROR(INDEX(C32:C34,MATCH(2,H32:H34,0)),"")</f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</c>
      <c r="L38" s="18"/>
      <c r="M38" s="18"/>
      <c r="N38" s="18"/>
      <c r="O38" s="23" t="s">
        <v>47</v>
      </c>
      <c r="P38" s="198">
        <f>_xlfn.IFERROR(INDEX(C27:C29,MATCH(1,H27:H29,0)),"")</f>
      </c>
      <c r="Q38" s="41">
        <f>IF(grille!H47&lt;&gt;"",grille!H47,"")</f>
      </c>
      <c r="R38" s="22"/>
      <c r="S38" s="23" t="s">
        <v>70</v>
      </c>
      <c r="T38" s="245">
        <f>_xlfn.IFERROR(INDEX(C32:C34,MATCH(1,H32:H34,0)),"")</f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</c>
    </row>
    <row r="39" spans="2:24" ht="1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9"/>
      <c r="U39" s="199"/>
      <c r="V39" s="199"/>
      <c r="W39" s="199"/>
      <c r="X39" s="18"/>
    </row>
    <row r="40" spans="2:24" ht="15.7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">
      <c r="B41" s="20">
        <v>291</v>
      </c>
      <c r="C41" s="194">
        <f>Perdant(C37:D38)</f>
      </c>
      <c r="D41" s="40">
        <f>IF(grille!G48&lt;&gt;"",grille!G48,"")</f>
      </c>
      <c r="E41" s="36" t="str">
        <f>IF(D42&lt;&gt;D41,IF(D42="f",11,IF(D41&lt;D42,12,11))," ")</f>
        <v> </v>
      </c>
      <c r="F41" s="19" t="str">
        <f>IF(AND(D51&gt;0,D52&gt;0),IF(D51&gt;D52,9,10)," ")</f>
        <v> </v>
      </c>
      <c r="G41" s="19"/>
      <c r="H41" s="18"/>
      <c r="I41" s="20">
        <v>191</v>
      </c>
      <c r="J41" s="239">
        <f>gagnant(C37:D38)</f>
      </c>
      <c r="K41" s="240"/>
      <c r="L41" s="240"/>
      <c r="M41" s="240"/>
      <c r="N41" s="241"/>
      <c r="O41" s="40">
        <f>IF(grille!G49&lt;&gt;"",grille!G49,"")</f>
      </c>
      <c r="P41" s="42" t="str">
        <f>IF(O41&lt;&gt;O42,IF(O41&gt;O42,9,10)," ")</f>
        <v> </v>
      </c>
      <c r="Q41" s="20">
        <v>251</v>
      </c>
      <c r="R41" s="254">
        <f>Perdant(P37:Q38)</f>
      </c>
      <c r="S41" s="254"/>
      <c r="T41" s="254"/>
      <c r="U41" s="254"/>
      <c r="V41" s="185">
        <f>IF(grille!G50&lt;&gt;"",grille!G50,"")</f>
      </c>
      <c r="W41" s="42" t="str">
        <f>IF(V41&lt;&gt;V42,IF(V41&gt;V42,7,8)," ")</f>
        <v> </v>
      </c>
      <c r="X41" s="18"/>
    </row>
    <row r="42" spans="2:23" ht="15.75" thickBot="1">
      <c r="B42" s="23">
        <v>292</v>
      </c>
      <c r="C42" s="195">
        <f>Perdant(G37:K38)</f>
      </c>
      <c r="D42" s="41">
        <f>IF(grille!H48&lt;&gt;"",grille!H48,"")</f>
      </c>
      <c r="E42" s="36" t="str">
        <f>IF(D41&lt;&gt;D42,IF(D42="f",12,IF(D41&lt;D42,11,12))," ")</f>
        <v> </v>
      </c>
      <c r="F42" s="19"/>
      <c r="G42" s="19"/>
      <c r="H42" s="18"/>
      <c r="I42" s="23">
        <v>192</v>
      </c>
      <c r="J42" s="245">
        <f>gagnant(G37:K38)</f>
      </c>
      <c r="K42" s="246"/>
      <c r="L42" s="246"/>
      <c r="M42" s="246"/>
      <c r="N42" s="247"/>
      <c r="O42" s="41">
        <f>IF(grille!H49&lt;&gt;"",grille!H49,"")</f>
      </c>
      <c r="P42" s="42" t="str">
        <f>IF(O41&lt;&gt;O42,IF(O41&lt;O42,9,10)," ")</f>
        <v> </v>
      </c>
      <c r="Q42" s="23">
        <v>252</v>
      </c>
      <c r="R42" s="248">
        <f>Perdant(T37:X38)</f>
      </c>
      <c r="S42" s="248"/>
      <c r="T42" s="248"/>
      <c r="U42" s="248"/>
      <c r="V42" s="186">
        <f>IF(grille!H50&lt;&gt;"",grille!H50,"")</f>
      </c>
      <c r="W42" s="42" t="str">
        <f>IF(V41&lt;&gt;V42,IF(V41&lt;V42,7,8)," ")</f>
        <v> </v>
      </c>
    </row>
    <row r="43" spans="2:24" ht="1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5.7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">
      <c r="B45" s="20">
        <v>151</v>
      </c>
      <c r="C45" s="196">
        <f>gagnant(P37:Q38)</f>
      </c>
      <c r="D45" s="185">
        <f>IF(grille!G51&lt;&gt;"",grille!G51,"")</f>
      </c>
      <c r="E45" s="36" t="str">
        <f>IF(D45&lt;&gt;D46,IF(D45&gt;D46,5,6)," ")</f>
        <v> </v>
      </c>
      <c r="F45" s="19"/>
      <c r="G45" s="19"/>
      <c r="H45" s="18"/>
      <c r="I45" s="20" t="s">
        <v>78</v>
      </c>
      <c r="J45" s="239">
        <f>Perdant(P33:Q34)</f>
      </c>
      <c r="K45" s="240"/>
      <c r="L45" s="240"/>
      <c r="M45" s="240"/>
      <c r="N45" s="241"/>
      <c r="O45" s="40">
        <f>IF(grille!G52&lt;&gt;"",grille!G52,"")</f>
      </c>
      <c r="P45" s="42" t="str">
        <f>IF(O45&lt;&gt;O46,IF(O45&gt;O46,3,4)," ")</f>
        <v> </v>
      </c>
      <c r="Q45" s="20" t="s">
        <v>80</v>
      </c>
      <c r="R45" s="239">
        <f>gagnant(P33:Q34)</f>
      </c>
      <c r="S45" s="240"/>
      <c r="T45" s="240"/>
      <c r="U45" s="241"/>
      <c r="V45" s="40">
        <f>IF(grille!G53&lt;&gt;"",grille!G53,"")</f>
      </c>
      <c r="W45" s="42" t="str">
        <f>IF(V45&lt;&gt;V46,IF(V45&gt;V46,1,2)," ")</f>
        <v> </v>
      </c>
      <c r="X45" s="18"/>
    </row>
    <row r="46" spans="2:24" ht="15.75" thickBot="1">
      <c r="B46" s="23">
        <v>152</v>
      </c>
      <c r="C46" s="197">
        <f>gagnant(T37:X38)</f>
      </c>
      <c r="D46" s="186">
        <f>IF(grille!H51&lt;&gt;"",grille!H51,"")</f>
      </c>
      <c r="E46" s="36" t="str">
        <f>IF(D45&lt;&gt;D46,IF(D45&lt;D46,5,6)," ")</f>
        <v> </v>
      </c>
      <c r="F46" s="19"/>
      <c r="G46" s="19"/>
      <c r="H46" s="18"/>
      <c r="I46" s="23" t="s">
        <v>79</v>
      </c>
      <c r="J46" s="245">
        <f>Perdant(T33:X34)</f>
      </c>
      <c r="K46" s="246"/>
      <c r="L46" s="246"/>
      <c r="M46" s="246"/>
      <c r="N46" s="247"/>
      <c r="O46" s="41">
        <f>IF(grille!H52&lt;&gt;"",grille!H52,"")</f>
      </c>
      <c r="P46" s="42" t="str">
        <f>IF(O45&lt;&gt;O46,IF(O45&lt;O46,3,4)," ")</f>
        <v> </v>
      </c>
      <c r="Q46" s="23" t="s">
        <v>81</v>
      </c>
      <c r="R46" s="245">
        <f>gagnant(T33:X34)</f>
      </c>
      <c r="S46" s="246"/>
      <c r="T46" s="246"/>
      <c r="U46" s="247"/>
      <c r="V46" s="41">
        <f>IF(grille!H53&lt;&gt;"",grille!H53,"")</f>
      </c>
      <c r="W46" s="42" t="str">
        <f>IF(V45&lt;&gt;V46,IF(V45&lt;V46,1,2)," ")</f>
        <v> </v>
      </c>
      <c r="X46" s="18"/>
    </row>
    <row r="48" spans="1:27" ht="1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Y18:Y19"/>
    <mergeCell ref="Z18:Z19"/>
    <mergeCell ref="Y25:Y26"/>
    <mergeCell ref="Z25:Z26"/>
    <mergeCell ref="K27:L27"/>
    <mergeCell ref="K16:L16"/>
    <mergeCell ref="M18:M19"/>
    <mergeCell ref="X16:Y16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7" t="str">
        <f>saison</f>
        <v>2021-2022</v>
      </c>
      <c r="C3" s="258"/>
    </row>
    <row r="4" spans="1:3" s="90" customFormat="1" ht="21" customHeight="1">
      <c r="A4" s="92" t="s">
        <v>121</v>
      </c>
      <c r="B4" s="257" t="str">
        <f>date</f>
        <v>2 et 3 avril 2022</v>
      </c>
      <c r="C4" s="258"/>
    </row>
    <row r="5" spans="1:5" s="89" customFormat="1" ht="1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Chateaubriand</v>
      </c>
      <c r="C6" s="96"/>
    </row>
    <row r="7" spans="1:3" s="89" customFormat="1" ht="18">
      <c r="A7" s="92" t="s">
        <v>122</v>
      </c>
      <c r="B7" s="93" t="str">
        <f>catégorie</f>
        <v>JUNIORS</v>
      </c>
      <c r="C7" s="94"/>
    </row>
    <row r="8" spans="1:5" ht="15">
      <c r="A8" s="97"/>
      <c r="B8" s="97"/>
      <c r="C8" s="97"/>
      <c r="D8" s="97"/>
      <c r="E8" s="98"/>
    </row>
    <row r="9" ht="15.75" thickBot="1"/>
    <row r="10" spans="2:3" ht="24.75" customHeight="1">
      <c r="B10" s="207">
        <f>gagnant(poules!R45:V46)</f>
      </c>
      <c r="C10" s="204">
        <v>1</v>
      </c>
    </row>
    <row r="11" spans="2:3" ht="24.75" customHeight="1">
      <c r="B11" s="208">
        <f>Perdant(poules!R45:V46)</f>
      </c>
      <c r="C11" s="104">
        <v>2</v>
      </c>
    </row>
    <row r="12" spans="2:3" ht="24.75" customHeight="1">
      <c r="B12" s="208">
        <f>gagnant(poules!J45:O46)</f>
      </c>
      <c r="C12" s="104">
        <v>3</v>
      </c>
    </row>
    <row r="13" spans="2:3" ht="24.75" customHeight="1">
      <c r="B13" s="209">
        <f>Perdant(poules!J45:O46)</f>
      </c>
      <c r="C13" s="205">
        <v>4</v>
      </c>
    </row>
    <row r="14" spans="2:3" ht="24.75" customHeight="1">
      <c r="B14" s="209">
        <f>gagnant(poules!C45:D46)</f>
      </c>
      <c r="C14" s="205">
        <v>5</v>
      </c>
    </row>
    <row r="15" spans="2:3" ht="24.75" customHeight="1">
      <c r="B15" s="209">
        <f>Perdant(poules!C45:D46)</f>
      </c>
      <c r="C15" s="205">
        <v>6</v>
      </c>
    </row>
    <row r="16" spans="2:3" ht="24.75" customHeight="1">
      <c r="B16" s="209">
        <f>gagnant(poules!R41:V42)</f>
      </c>
      <c r="C16" s="205">
        <v>7</v>
      </c>
    </row>
    <row r="17" spans="2:3" ht="24.75" customHeight="1">
      <c r="B17" s="209">
        <f>Perdant(poules!R41:V42)</f>
      </c>
      <c r="C17" s="205">
        <v>8</v>
      </c>
    </row>
    <row r="18" spans="2:3" ht="24.75" customHeight="1">
      <c r="B18" s="209">
        <f>gagnant(poules!J41:O42)</f>
      </c>
      <c r="C18" s="205">
        <v>9</v>
      </c>
    </row>
    <row r="19" spans="2:6" s="99" customFormat="1" ht="24.75" customHeight="1">
      <c r="B19" s="209">
        <f>Perdant(poules!J41:O42)</f>
      </c>
      <c r="C19" s="205">
        <v>10</v>
      </c>
      <c r="E19" s="100"/>
      <c r="F19" s="72"/>
    </row>
    <row r="20" spans="2:6" s="99" customFormat="1" ht="24.75" customHeight="1">
      <c r="B20" s="209">
        <f>gagnant(poules!C41:D42)</f>
      </c>
      <c r="C20" s="205">
        <v>11</v>
      </c>
      <c r="E20" s="100"/>
      <c r="F20" s="72"/>
    </row>
    <row r="21" spans="2:6" s="99" customFormat="1" ht="24.75" customHeight="1" thickBot="1">
      <c r="B21" s="210">
        <f>Perdant(poules!C41:D42)</f>
      </c>
      <c r="C21" s="206">
        <v>12</v>
      </c>
      <c r="E21" s="100"/>
      <c r="F21" s="72"/>
    </row>
    <row r="24" spans="1:2" ht="15">
      <c r="A24" s="154" t="s">
        <v>166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217" customWidth="1"/>
    <col min="2" max="2" width="19.8515625" style="72" customWidth="1"/>
    <col min="3" max="3" width="17.8515625" style="72" customWidth="1"/>
    <col min="4" max="4" width="20.8515625" style="217" bestFit="1" customWidth="1"/>
    <col min="5" max="6" width="12.574218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">
      <c r="A1" s="215" t="s">
        <v>125</v>
      </c>
      <c r="B1" s="106" t="s">
        <v>126</v>
      </c>
      <c r="C1" s="106" t="s">
        <v>127</v>
      </c>
      <c r="D1" s="215" t="s">
        <v>128</v>
      </c>
      <c r="E1" s="107" t="s">
        <v>129</v>
      </c>
      <c r="F1" s="107" t="s">
        <v>130</v>
      </c>
      <c r="G1" s="107" t="s">
        <v>131</v>
      </c>
      <c r="H1" s="109" t="s">
        <v>223</v>
      </c>
      <c r="I1" s="109" t="s">
        <v>224</v>
      </c>
      <c r="J1" s="109" t="s">
        <v>225</v>
      </c>
      <c r="K1" s="216" t="s">
        <v>226</v>
      </c>
    </row>
    <row r="2" spans="1:11" ht="12">
      <c r="A2" s="217" t="s">
        <v>189</v>
      </c>
      <c r="B2" s="72" t="s">
        <v>220</v>
      </c>
      <c r="C2" s="72" t="s">
        <v>217</v>
      </c>
      <c r="D2" s="217" t="s">
        <v>230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244</v>
      </c>
    </row>
    <row r="3" spans="1:11" ht="12">
      <c r="A3" s="217" t="s">
        <v>193</v>
      </c>
      <c r="B3" s="72" t="s">
        <v>208</v>
      </c>
      <c r="C3" s="72" t="s">
        <v>209</v>
      </c>
      <c r="D3" s="217" t="s">
        <v>233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236</v>
      </c>
    </row>
    <row r="4" spans="1:11" ht="12">
      <c r="A4" s="217" t="s">
        <v>197</v>
      </c>
      <c r="B4" s="72" t="s">
        <v>214</v>
      </c>
      <c r="C4" s="72" t="s">
        <v>215</v>
      </c>
      <c r="D4" s="217" t="s">
        <v>228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240</v>
      </c>
    </row>
    <row r="5" spans="1:11" ht="12">
      <c r="A5" s="217" t="s">
        <v>191</v>
      </c>
      <c r="B5" s="72" t="s">
        <v>218</v>
      </c>
      <c r="C5" s="72" t="s">
        <v>219</v>
      </c>
      <c r="D5" s="217" t="s">
        <v>227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241</v>
      </c>
    </row>
    <row r="6" spans="1:11" ht="12">
      <c r="A6" s="217" t="s">
        <v>190</v>
      </c>
      <c r="B6" s="72" t="s">
        <v>210</v>
      </c>
      <c r="C6" s="72" t="s">
        <v>211</v>
      </c>
      <c r="D6" s="217" t="s">
        <v>234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238</v>
      </c>
    </row>
    <row r="7" spans="1:11" ht="12">
      <c r="A7" s="217" t="s">
        <v>188</v>
      </c>
      <c r="B7" s="72" t="s">
        <v>206</v>
      </c>
      <c r="C7" s="72" t="s">
        <v>207</v>
      </c>
      <c r="D7" s="217" t="s">
        <v>232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239</v>
      </c>
    </row>
    <row r="8" spans="1:11" ht="12">
      <c r="A8" s="217" t="s">
        <v>192</v>
      </c>
      <c r="B8" s="72" t="s">
        <v>221</v>
      </c>
      <c r="C8" s="72" t="s">
        <v>222</v>
      </c>
      <c r="D8" s="217" t="s">
        <v>235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242</v>
      </c>
    </row>
    <row r="9" spans="1:11" ht="12">
      <c r="A9" s="217" t="s">
        <v>194</v>
      </c>
      <c r="B9" s="72" t="s">
        <v>216</v>
      </c>
      <c r="C9" s="72" t="s">
        <v>217</v>
      </c>
      <c r="D9" s="217" t="s">
        <v>229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243</v>
      </c>
    </row>
    <row r="10" spans="1:11" ht="12">
      <c r="A10" s="217" t="s">
        <v>196</v>
      </c>
      <c r="B10" s="72" t="s">
        <v>212</v>
      </c>
      <c r="C10" s="72" t="s">
        <v>213</v>
      </c>
      <c r="D10" s="217" t="s">
        <v>231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237</v>
      </c>
    </row>
    <row r="11" spans="5:6" ht="12">
      <c r="E11" s="108"/>
      <c r="F11" s="108"/>
    </row>
    <row r="12" spans="5:6" ht="12">
      <c r="E12" s="108"/>
      <c r="F12" s="108"/>
    </row>
    <row r="13" spans="5:6" ht="12">
      <c r="E13" s="108"/>
      <c r="F13" s="108"/>
    </row>
    <row r="14" spans="5:6" ht="12">
      <c r="E14" s="108"/>
      <c r="F14" s="108"/>
    </row>
    <row r="15" spans="5:6" ht="12">
      <c r="E15" s="108"/>
      <c r="F15" s="108"/>
    </row>
    <row r="16" spans="5:6" ht="12">
      <c r="E16" s="108"/>
      <c r="F16" s="108"/>
    </row>
    <row r="17" spans="5:6" ht="12">
      <c r="E17" s="108"/>
      <c r="F17" s="108"/>
    </row>
    <row r="18" spans="5:6" ht="12">
      <c r="E18" s="108"/>
      <c r="F18" s="108"/>
    </row>
    <row r="19" spans="5:6" ht="12">
      <c r="E19" s="108"/>
      <c r="F19" s="108"/>
    </row>
    <row r="20" spans="5:6" ht="12">
      <c r="E20" s="108"/>
      <c r="F20" s="108"/>
    </row>
    <row r="21" spans="5:6" ht="12">
      <c r="E21" s="108"/>
      <c r="F21" s="108"/>
    </row>
    <row r="22" spans="5:6" ht="12">
      <c r="E22" s="108"/>
      <c r="F22" s="108"/>
    </row>
    <row r="23" spans="5:6" ht="12">
      <c r="E23" s="108"/>
      <c r="F23" s="108"/>
    </row>
    <row r="24" spans="5:6" ht="12">
      <c r="E24" s="108"/>
      <c r="F24" s="108"/>
    </row>
    <row r="25" spans="5:6" ht="12">
      <c r="E25" s="108"/>
      <c r="F25" s="108"/>
    </row>
    <row r="26" spans="5:6" ht="12">
      <c r="E26" s="108"/>
      <c r="F26" s="108"/>
    </row>
    <row r="27" spans="5:6" ht="12">
      <c r="E27" s="108"/>
      <c r="F27" s="108"/>
    </row>
    <row r="28" spans="5:6" ht="12">
      <c r="E28" s="108"/>
      <c r="F28" s="108"/>
    </row>
    <row r="29" spans="5:6" ht="12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57421875" style="0" customWidth="1"/>
    <col min="2" max="2" width="17.421875" style="0" customWidth="1"/>
    <col min="3" max="3" width="15.8515625" style="0" customWidth="1"/>
    <col min="4" max="4" width="10.421875" style="0" customWidth="1"/>
    <col min="5" max="5" width="21.421875" style="0" customWidth="1"/>
    <col min="6" max="6" width="20.140625" style="0" customWidth="1"/>
    <col min="7" max="7" width="32.57421875" style="0" customWidth="1"/>
    <col min="8" max="8" width="18.140625" style="0" customWidth="1"/>
  </cols>
  <sheetData>
    <row r="9" spans="2:7" ht="18">
      <c r="B9" s="92" t="s">
        <v>118</v>
      </c>
      <c r="C9" s="257" t="str">
        <f>saison</f>
        <v>2021-2022</v>
      </c>
      <c r="D9" s="258"/>
      <c r="E9" s="95"/>
      <c r="F9" s="92" t="s">
        <v>119</v>
      </c>
      <c r="G9" s="111" t="str">
        <f>lieu</f>
        <v>Chateaubriand</v>
      </c>
    </row>
    <row r="10" spans="2:5" ht="18">
      <c r="B10" s="92" t="s">
        <v>121</v>
      </c>
      <c r="C10" s="257" t="str">
        <f>date</f>
        <v>2 et 3 avril 2022</v>
      </c>
      <c r="D10" s="258"/>
      <c r="E10" s="95"/>
    </row>
    <row r="11" spans="2:5" ht="15">
      <c r="B11" s="87"/>
      <c r="C11" s="87"/>
      <c r="D11" s="87"/>
      <c r="E11" s="87"/>
    </row>
    <row r="12" spans="2:5" ht="12">
      <c r="B12" t="s">
        <v>133</v>
      </c>
      <c r="E12" s="89"/>
    </row>
    <row r="13" ht="12">
      <c r="E13" s="89"/>
    </row>
    <row r="14" spans="1:7" s="10" customFormat="1" ht="18" customHeight="1">
      <c r="A14" s="112" t="s">
        <v>139</v>
      </c>
      <c r="B14" s="112" t="s">
        <v>126</v>
      </c>
      <c r="C14" s="112" t="s">
        <v>134</v>
      </c>
      <c r="D14" s="112" t="s">
        <v>135</v>
      </c>
      <c r="E14" s="112" t="s">
        <v>136</v>
      </c>
      <c r="F14" s="112" t="s">
        <v>137</v>
      </c>
      <c r="G14" s="112" t="s">
        <v>138</v>
      </c>
    </row>
    <row r="15" spans="1:7" s="10" customFormat="1" ht="40.5" customHeight="1">
      <c r="A15" s="113" t="s">
        <v>140</v>
      </c>
      <c r="B15" s="115"/>
      <c r="C15" s="115"/>
      <c r="D15" s="113"/>
      <c r="E15" s="113"/>
      <c r="F15" s="113"/>
      <c r="G15" s="113"/>
    </row>
    <row r="16" spans="1:7" s="10" customFormat="1" ht="40.5" customHeight="1">
      <c r="A16" s="114" t="s">
        <v>141</v>
      </c>
      <c r="B16" s="115"/>
      <c r="C16" s="115"/>
      <c r="D16" s="113"/>
      <c r="E16" s="113"/>
      <c r="F16" s="113"/>
      <c r="G16" s="113"/>
    </row>
    <row r="17" spans="1:7" s="10" customFormat="1" ht="40.5" customHeight="1">
      <c r="A17" s="113" t="s">
        <v>142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142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142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142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142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142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142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142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142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142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142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142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142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142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142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142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165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165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165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165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165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165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ROUSSEL CECILE</cp:lastModifiedBy>
  <cp:lastPrinted>2018-02-20T23:03:11Z</cp:lastPrinted>
  <dcterms:created xsi:type="dcterms:W3CDTF">1997-11-08T13:41:57Z</dcterms:created>
  <dcterms:modified xsi:type="dcterms:W3CDTF">2022-03-28T19:35:24Z</dcterms:modified>
  <cp:category/>
  <cp:version/>
  <cp:contentType/>
  <cp:contentStatus/>
</cp:coreProperties>
</file>